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180" windowHeight="12660" tabRatio="802" activeTab="0"/>
  </bookViews>
  <sheets>
    <sheet name="Bedarfsberechnung" sheetId="1" r:id="rId1"/>
    <sheet name="Heizkosten" sheetId="2" r:id="rId2"/>
    <sheet name="Berechnung" sheetId="3" r:id="rId3"/>
    <sheet name="Rent Pell-Öl" sheetId="4" r:id="rId4"/>
    <sheet name="Rent Hack-Öl" sheetId="5" r:id="rId5"/>
    <sheet name="Rent Pell-Gas" sheetId="6" r:id="rId6"/>
    <sheet name="Rent Hack-Gas" sheetId="7" r:id="rId7"/>
    <sheet name="CO2 und Feinstaub" sheetId="8" r:id="rId8"/>
    <sheet name="Grunddaten" sheetId="9" r:id="rId9"/>
    <sheet name="Kaminkehrer" sheetId="10" r:id="rId10"/>
  </sheets>
  <definedNames>
    <definedName name="_xlnm.Print_Area" localSheetId="0">'Bedarfsberechnung'!$B$2:$F$37</definedName>
    <definedName name="_xlnm.Print_Area" localSheetId="2">'Berechnung'!$A$1:$V$35</definedName>
    <definedName name="_xlnm.Print_Area" localSheetId="7">'CO2 und Feinstaub'!$A$1:$T$37</definedName>
    <definedName name="_xlnm.Print_Area" localSheetId="1">'Heizkosten'!$A$1:$S$33</definedName>
    <definedName name="_xlnm.Print_Area" localSheetId="6">'Rent Hack-Gas'!$A$1:$L$45</definedName>
    <definedName name="_xlnm.Print_Area" localSheetId="4">'Rent Hack-Öl'!$A$1:$L$45</definedName>
    <definedName name="_xlnm.Print_Area" localSheetId="5">'Rent Pell-Gas'!$A$1:$L$45</definedName>
    <definedName name="_xlnm.Print_Area" localSheetId="3">'Rent Pell-Öl'!$A$1:$L$45</definedName>
  </definedNames>
  <calcPr fullCalcOnLoad="1"/>
</workbook>
</file>

<file path=xl/sharedStrings.xml><?xml version="1.0" encoding="utf-8"?>
<sst xmlns="http://schemas.openxmlformats.org/spreadsheetml/2006/main" count="315" uniqueCount="154">
  <si>
    <t>Kosten</t>
  </si>
  <si>
    <t>Wartung</t>
  </si>
  <si>
    <t>Heizmaterial</t>
  </si>
  <si>
    <t>Hackgut</t>
  </si>
  <si>
    <t>Pellets</t>
  </si>
  <si>
    <t>Heizöl</t>
  </si>
  <si>
    <t>Erdwärme</t>
  </si>
  <si>
    <t>bei Heizlast von:</t>
  </si>
  <si>
    <t>20 Jahre</t>
  </si>
  <si>
    <t>Kaminkehrer</t>
  </si>
  <si>
    <t>mit Tank</t>
  </si>
  <si>
    <t>40€ Zähler</t>
  </si>
  <si>
    <t>mit Rührwerk</t>
  </si>
  <si>
    <t>Erdgas</t>
  </si>
  <si>
    <t>Brennstoff</t>
  </si>
  <si>
    <t>Kehren pro Jahr</t>
  </si>
  <si>
    <t>Kosten pro Kehren</t>
  </si>
  <si>
    <t>Gesamtkosten</t>
  </si>
  <si>
    <t>Objekttarif pro Kehren</t>
  </si>
  <si>
    <t>Festbrennstoff (Hackgut, Pellets, usw.) bis 50KW</t>
  </si>
  <si>
    <r>
      <t>→</t>
    </r>
    <r>
      <rPr>
        <sz val="10"/>
        <rFont val="Arial"/>
        <family val="0"/>
      </rPr>
      <t xml:space="preserve">  Ohne Warmwasserbereitung / 1 Kamin</t>
    </r>
  </si>
  <si>
    <r>
      <t>→</t>
    </r>
    <r>
      <rPr>
        <sz val="10"/>
        <rFont val="Arial"/>
        <family val="0"/>
      </rPr>
      <t xml:space="preserve">  Mit Warmwasserbereitung / 1 Kamin</t>
    </r>
  </si>
  <si>
    <r>
      <t>→</t>
    </r>
    <r>
      <rPr>
        <sz val="10"/>
        <rFont val="Arial"/>
        <family val="0"/>
      </rPr>
      <t xml:space="preserve">  Ohne Warmwasserbereitung / 2 Kamin</t>
    </r>
  </si>
  <si>
    <r>
      <t>→</t>
    </r>
    <r>
      <rPr>
        <sz val="10"/>
        <rFont val="Arial"/>
        <family val="0"/>
      </rPr>
      <t xml:space="preserve">  Mit Warmwasserbereitung / 2 Kamin</t>
    </r>
  </si>
  <si>
    <t>ø</t>
  </si>
  <si>
    <t>Summe</t>
  </si>
  <si>
    <t>Festbrennstoff (Hackgut, Pellets, usw.) über 50KW</t>
  </si>
  <si>
    <t>GAS</t>
  </si>
  <si>
    <t>Edelstahlkamine sind teurer beim Kehren</t>
  </si>
  <si>
    <t>Quelle: Janski</t>
  </si>
  <si>
    <t>Wartung:</t>
  </si>
  <si>
    <t>Reparatur:</t>
  </si>
  <si>
    <t>Stromverbrauch:</t>
  </si>
  <si>
    <t>Heizmaterial:</t>
  </si>
  <si>
    <t>Kaminkehrer:</t>
  </si>
  <si>
    <t>Bitte Heizlast eingeben:</t>
  </si>
  <si>
    <r>
      <t xml:space="preserve">ø </t>
    </r>
    <r>
      <rPr>
        <b/>
        <sz val="10"/>
        <rFont val="Arial"/>
        <family val="2"/>
      </rPr>
      <t>2 Kamin</t>
    </r>
  </si>
  <si>
    <t>Hackgut:</t>
  </si>
  <si>
    <t>Pellets:</t>
  </si>
  <si>
    <t>Erdgas:</t>
  </si>
  <si>
    <t>Heizöl:</t>
  </si>
  <si>
    <t>Erdwärme:</t>
  </si>
  <si>
    <t>Abschreibung</t>
  </si>
  <si>
    <t>durch Fa.</t>
  </si>
  <si>
    <t>mit HK Pumpen</t>
  </si>
  <si>
    <t>bei 2 Kamine</t>
  </si>
  <si>
    <t>0,5% Anschaffung</t>
  </si>
  <si>
    <t>Berechnungsgrundlage:</t>
  </si>
  <si>
    <t>Pellets / Tonne</t>
  </si>
  <si>
    <t>Hackgut / srm</t>
  </si>
  <si>
    <t>bis 50 kW</t>
  </si>
  <si>
    <t>über 50 kW</t>
  </si>
  <si>
    <t>Heizöl / Liter</t>
  </si>
  <si>
    <t>mit 40€ Zählerkosten</t>
  </si>
  <si>
    <t>bei 12 kW</t>
  </si>
  <si>
    <t>bei 25 kW</t>
  </si>
  <si>
    <t>bei 50 kW</t>
  </si>
  <si>
    <t>bei 100 kW</t>
  </si>
  <si>
    <t>Strom / kWh</t>
  </si>
  <si>
    <t>mit Gewebetank</t>
  </si>
  <si>
    <t>mit Pufferspeicher</t>
  </si>
  <si>
    <t>mit Anschluss</t>
  </si>
  <si>
    <t>mit Flächenkollektoren</t>
  </si>
  <si>
    <t>Kosten für Heizmaterial:</t>
  </si>
  <si>
    <t>Höchste Summe aus Ber.</t>
  </si>
  <si>
    <t>Scheitholz</t>
  </si>
  <si>
    <t>Kosten der Heizanlage / ohne Gebäudekosten / ohne Abzug der Förderung:</t>
  </si>
  <si>
    <t>Heizmittel:</t>
  </si>
  <si>
    <t>Jährl.Kosten:</t>
  </si>
  <si>
    <t>bis 100 kW</t>
  </si>
  <si>
    <t>Scheitholz hart / rm</t>
  </si>
  <si>
    <t>Rentabilitätsrechner</t>
  </si>
  <si>
    <t>Anschaffung Pellets</t>
  </si>
  <si>
    <t>Anschaffung Heizöl</t>
  </si>
  <si>
    <t>Heizkosten Pellets/o. An.</t>
  </si>
  <si>
    <t>Heizkosten Öl/o. Anschaf.</t>
  </si>
  <si>
    <t>Ersparnis nach 20 Jahren:</t>
  </si>
  <si>
    <t>Break-even in Jahren:</t>
  </si>
  <si>
    <t>Break-even nach Restwert:</t>
  </si>
  <si>
    <t>Geben Sie den Restwert der alten Heizanlage ein:</t>
  </si>
  <si>
    <t>Erdgas / kWh</t>
  </si>
  <si>
    <t>Menge</t>
  </si>
  <si>
    <t>KW Berechnung</t>
  </si>
  <si>
    <t>bisheriger Verbrauch:</t>
  </si>
  <si>
    <t>in m³</t>
  </si>
  <si>
    <t>in t</t>
  </si>
  <si>
    <t>in rm</t>
  </si>
  <si>
    <t>in MWh</t>
  </si>
  <si>
    <t>in Liter</t>
  </si>
  <si>
    <t>in kWh</t>
  </si>
  <si>
    <t>Ergibt:</t>
  </si>
  <si>
    <t>Heizkosten / Jahr</t>
  </si>
  <si>
    <t>Aktueller Preis für Heizmaterial:</t>
  </si>
  <si>
    <t>bei 200 kW</t>
  </si>
  <si>
    <t>Grunddaten</t>
  </si>
  <si>
    <t>Rentabilitätsrechnung: Heizöl - Pellets</t>
  </si>
  <si>
    <t>Anschaffung Hackgut</t>
  </si>
  <si>
    <t>Heizkosten Hackgut/o. An.</t>
  </si>
  <si>
    <t>Rentabilitätsrechnung: Heizöl - Hackgut</t>
  </si>
  <si>
    <t>Rentabilitätsrechnung: Gas - Hackgut</t>
  </si>
  <si>
    <t>Anschaffung Erdgas</t>
  </si>
  <si>
    <t>Heizkosten Gas/o. Anschaf.</t>
  </si>
  <si>
    <t>Pellets - Öl</t>
  </si>
  <si>
    <t>Hackgut - Öl</t>
  </si>
  <si>
    <t>Hackgut - Gas</t>
  </si>
  <si>
    <t>Pellets - Gas</t>
  </si>
  <si>
    <t>Rentabilitätsrechnung: Gas - Pellets</t>
  </si>
  <si>
    <t>Heizkostenberechnung</t>
  </si>
  <si>
    <t>Heizkosten</t>
  </si>
  <si>
    <t xml:space="preserve"> je kWh/o.Anschafung</t>
  </si>
  <si>
    <t>Ansch./kWh</t>
  </si>
  <si>
    <t>Preis / kWh</t>
  </si>
  <si>
    <t>Gas</t>
  </si>
  <si>
    <t>Kaminkehrerkosten OÖ</t>
  </si>
  <si>
    <t>Angegebene Daten sind Richtpreise</t>
  </si>
  <si>
    <t>bis 420 kW</t>
  </si>
  <si>
    <t>0,75% Anschaffung</t>
  </si>
  <si>
    <t>Co2 und Feinstaub</t>
  </si>
  <si>
    <t>Bei Heizlast:</t>
  </si>
  <si>
    <t>Co2</t>
  </si>
  <si>
    <t>Feinstaub</t>
  </si>
  <si>
    <t>Volllaststunden:</t>
  </si>
  <si>
    <t>Stromverbrauch</t>
  </si>
  <si>
    <t>Gebäudekosten:</t>
  </si>
  <si>
    <t>Förderung:</t>
  </si>
  <si>
    <t>Euro / kWh</t>
  </si>
  <si>
    <t>bei 400 kW</t>
  </si>
  <si>
    <t>Holzvergaser</t>
  </si>
  <si>
    <t>Heizlast:</t>
  </si>
  <si>
    <t>Energiebedarf</t>
  </si>
  <si>
    <t>Eingabe</t>
  </si>
  <si>
    <r>
      <t>Wohngebäude 1</t>
    </r>
    <r>
      <rPr>
        <sz val="10"/>
        <rFont val="Arial"/>
        <family val="0"/>
      </rPr>
      <t xml:space="preserve"> [m²]</t>
    </r>
  </si>
  <si>
    <r>
      <t>Energiekennzahl Wohngebäude 1</t>
    </r>
    <r>
      <rPr>
        <sz val="10"/>
        <rFont val="Arial"/>
        <family val="0"/>
      </rPr>
      <t xml:space="preserve"> [kWh/m²a]</t>
    </r>
  </si>
  <si>
    <r>
      <t>Volllaststunden Wohngebäude 1</t>
    </r>
    <r>
      <rPr>
        <sz val="10"/>
        <rFont val="Arial"/>
        <family val="0"/>
      </rPr>
      <t xml:space="preserve"> [h]</t>
    </r>
  </si>
  <si>
    <r>
      <t>Wohngebäude 2</t>
    </r>
    <r>
      <rPr>
        <sz val="10"/>
        <rFont val="Arial"/>
        <family val="0"/>
      </rPr>
      <t xml:space="preserve"> [m²]</t>
    </r>
  </si>
  <si>
    <r>
      <t>Energiekennzahl Wohngebäude 2</t>
    </r>
    <r>
      <rPr>
        <sz val="10"/>
        <rFont val="Arial"/>
        <family val="0"/>
      </rPr>
      <t xml:space="preserve"> [kWh/m²a]</t>
    </r>
  </si>
  <si>
    <r>
      <t>Volllaststunden Wohngebäude 2</t>
    </r>
    <r>
      <rPr>
        <sz val="10"/>
        <rFont val="Arial"/>
        <family val="0"/>
      </rPr>
      <t xml:space="preserve"> [h]</t>
    </r>
  </si>
  <si>
    <t>Anzahl Personen im Haushalt</t>
  </si>
  <si>
    <r>
      <t>Aufheizenergie Wasser pro Person</t>
    </r>
    <r>
      <rPr>
        <sz val="10"/>
        <rFont val="Arial"/>
        <family val="0"/>
      </rPr>
      <t xml:space="preserve"> [kWh]</t>
    </r>
  </si>
  <si>
    <r>
      <t>Aufheiztage</t>
    </r>
    <r>
      <rPr>
        <sz val="10"/>
        <rFont val="Arial"/>
        <family val="0"/>
      </rPr>
      <t xml:space="preserve"> [d]</t>
    </r>
  </si>
  <si>
    <r>
      <t xml:space="preserve">Wirkungsgradverlust </t>
    </r>
    <r>
      <rPr>
        <sz val="10"/>
        <rFont val="Arial"/>
        <family val="0"/>
      </rPr>
      <t>[%]</t>
    </r>
  </si>
  <si>
    <t>Berechnung</t>
  </si>
  <si>
    <t>Energiebedarf Wohngebäude 1:</t>
  </si>
  <si>
    <t>[kWh]</t>
  </si>
  <si>
    <t>Energiebedarf Wohngebäude 2:</t>
  </si>
  <si>
    <t>Wasseraufbereitung</t>
  </si>
  <si>
    <t>+ Wirkungsgradverlust</t>
  </si>
  <si>
    <t>Jährlicher Gesamtverbrauch Energie</t>
  </si>
  <si>
    <t xml:space="preserve">Kesselauslegung </t>
  </si>
  <si>
    <t>[kW]</t>
  </si>
  <si>
    <t>Arbeitszahl Erdwärme:</t>
  </si>
  <si>
    <t>(900 kWh / m³)</t>
  </si>
  <si>
    <t>Staub</t>
  </si>
  <si>
    <t>Wärmepumpe: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</si>
</sst>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* #,##0_-;\-* #,##0_-;_-* &quot;-&quot;_-;_-@_-"/>
    <numFmt numFmtId="166" formatCode="_-&quot;€&quot;\ * #,##0.00_-;\-&quot;€&quot;\ * #,##0.00_-;_-&quot;€&quot;\ * &quot;-&quot;??_-;_-@_-"/>
    <numFmt numFmtId="167" formatCode="_-* #,##0.00_-;\-* #,##0.00_-;_-* &quot;-&quot;??_-;_-@_-"/>
    <numFmt numFmtId="168" formatCode="&quot;€&quot;\ #,##0"/>
    <numFmt numFmtId="169" formatCode="&quot;€&quot;\ #,##0.00"/>
    <numFmt numFmtId="170" formatCode="0.0&quot;KW&quot;"/>
    <numFmt numFmtId="171" formatCode="0&quot;x&quot;"/>
    <numFmt numFmtId="172" formatCode="0.0\ &quot;kW&quot;"/>
    <numFmt numFmtId="173" formatCode="0\ &quot;m³&quot;"/>
    <numFmt numFmtId="174" formatCode="&quot;€&quot;\ #,##0.000"/>
    <numFmt numFmtId="175" formatCode="0\ &quot;Liter&quot;"/>
    <numFmt numFmtId="176" formatCode="&quot;€&quot;\ #,##0.0000"/>
    <numFmt numFmtId="177" formatCode="&quot;=&quot;#,##0\ &quot;kWh/Jahr&quot;"/>
    <numFmt numFmtId="178" formatCode="&quot;€&quot;\ #,##0.00000"/>
    <numFmt numFmtId="179" formatCode="#,##0.00\ &quot;Jahre&quot;"/>
    <numFmt numFmtId="180" formatCode="0\ &quot;J&quot;"/>
    <numFmt numFmtId="181" formatCode="0.0\ &quot;t&quot;"/>
    <numFmt numFmtId="182" formatCode="0.0\ &quot;m³&quot;"/>
    <numFmt numFmtId="183" formatCode="0.0\ &quot;rm&quot;"/>
    <numFmt numFmtId="184" formatCode="0.0\ &quot;kWh&quot;"/>
    <numFmt numFmtId="185" formatCode="0.0\ &quot;MWh&quot;"/>
    <numFmt numFmtId="186" formatCode="0.0\ &quot;Liter&quot;"/>
    <numFmt numFmtId="187" formatCode="\ &quot;€&quot;\ #,##0\ &quot; / Teuerstem&quot;"/>
    <numFmt numFmtId="188" formatCode="0\ &quot;kW Heizlast&quot;"/>
    <numFmt numFmtId="189" formatCode="0\ &quot;m² Kollektorfläche&quot;"/>
    <numFmt numFmtId="190" formatCode="0.00\ &quot;t&quot;"/>
    <numFmt numFmtId="191" formatCode="0.00\ &quot;kg&quot;"/>
    <numFmt numFmtId="192" formatCode="&quot;-&quot;\ &quot;€&quot;\ #,##0"/>
    <numFmt numFmtId="193" formatCode="#,##0.0"/>
    <numFmt numFmtId="194" formatCode="\€\ #,##0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20"/>
      <name val="Arial"/>
      <family val="0"/>
    </font>
    <font>
      <sz val="12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0"/>
      <color indexed="55"/>
      <name val="Arial"/>
      <family val="0"/>
    </font>
    <font>
      <b/>
      <sz val="10"/>
      <color indexed="9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.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4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168" fontId="0" fillId="34" borderId="10" xfId="0" applyNumberFormat="1" applyFill="1" applyBorder="1" applyAlignment="1">
      <alignment horizontal="center"/>
    </xf>
    <xf numFmtId="168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169" fontId="0" fillId="40" borderId="0" xfId="0" applyNumberFormat="1" applyFill="1" applyAlignment="1">
      <alignment/>
    </xf>
    <xf numFmtId="0" fontId="0" fillId="41" borderId="0" xfId="0" applyFill="1" applyAlignment="1">
      <alignment/>
    </xf>
    <xf numFmtId="172" fontId="9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9" fillId="42" borderId="14" xfId="0" applyFont="1" applyFill="1" applyBorder="1" applyAlignment="1" applyProtection="1">
      <alignment/>
      <protection/>
    </xf>
    <xf numFmtId="0" fontId="11" fillId="42" borderId="15" xfId="0" applyFont="1" applyFill="1" applyBorder="1" applyAlignment="1" applyProtection="1">
      <alignment vertical="top"/>
      <protection/>
    </xf>
    <xf numFmtId="0" fontId="11" fillId="42" borderId="15" xfId="0" applyFont="1" applyFill="1" applyBorder="1" applyAlignment="1" applyProtection="1">
      <alignment horizontal="center" vertical="top"/>
      <protection/>
    </xf>
    <xf numFmtId="0" fontId="4" fillId="33" borderId="16" xfId="0" applyFont="1" applyFill="1" applyBorder="1" applyAlignment="1" applyProtection="1">
      <alignment/>
      <protection/>
    </xf>
    <xf numFmtId="168" fontId="4" fillId="33" borderId="16" xfId="0" applyNumberFormat="1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/>
      <protection/>
    </xf>
    <xf numFmtId="168" fontId="4" fillId="34" borderId="10" xfId="0" applyNumberFormat="1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/>
      <protection/>
    </xf>
    <xf numFmtId="0" fontId="4" fillId="39" borderId="16" xfId="0" applyFont="1" applyFill="1" applyBorder="1" applyAlignment="1" applyProtection="1">
      <alignment/>
      <protection/>
    </xf>
    <xf numFmtId="0" fontId="4" fillId="37" borderId="16" xfId="0" applyFont="1" applyFill="1" applyBorder="1" applyAlignment="1" applyProtection="1">
      <alignment/>
      <protection/>
    </xf>
    <xf numFmtId="168" fontId="4" fillId="37" borderId="16" xfId="0" applyNumberFormat="1" applyFont="1" applyFill="1" applyBorder="1" applyAlignment="1" applyProtection="1">
      <alignment horizontal="center"/>
      <protection/>
    </xf>
    <xf numFmtId="168" fontId="4" fillId="33" borderId="0" xfId="0" applyNumberFormat="1" applyFont="1" applyFill="1" applyBorder="1" applyAlignment="1" applyProtection="1">
      <alignment horizontal="center" vertical="center"/>
      <protection/>
    </xf>
    <xf numFmtId="168" fontId="4" fillId="34" borderId="0" xfId="0" applyNumberFormat="1" applyFont="1" applyFill="1" applyBorder="1" applyAlignment="1" applyProtection="1">
      <alignment horizontal="center" vertical="center"/>
      <protection/>
    </xf>
    <xf numFmtId="168" fontId="4" fillId="35" borderId="0" xfId="0" applyNumberFormat="1" applyFont="1" applyFill="1" applyBorder="1" applyAlignment="1" applyProtection="1">
      <alignment horizontal="center" vertical="center"/>
      <protection/>
    </xf>
    <xf numFmtId="168" fontId="4" fillId="39" borderId="0" xfId="0" applyNumberFormat="1" applyFont="1" applyFill="1" applyBorder="1" applyAlignment="1" applyProtection="1">
      <alignment horizontal="center" vertical="center"/>
      <protection/>
    </xf>
    <xf numFmtId="168" fontId="4" fillId="37" borderId="0" xfId="0" applyNumberFormat="1" applyFont="1" applyFill="1" applyBorder="1" applyAlignment="1" applyProtection="1">
      <alignment horizontal="center" vertical="center"/>
      <protection/>
    </xf>
    <xf numFmtId="173" fontId="4" fillId="33" borderId="0" xfId="0" applyNumberFormat="1" applyFont="1" applyFill="1" applyBorder="1" applyAlignment="1" applyProtection="1">
      <alignment horizontal="center" vertical="center"/>
      <protection locked="0"/>
    </xf>
    <xf numFmtId="181" fontId="4" fillId="34" borderId="0" xfId="0" applyNumberFormat="1" applyFont="1" applyFill="1" applyBorder="1" applyAlignment="1" applyProtection="1">
      <alignment horizontal="center" vertical="center"/>
      <protection locked="0"/>
    </xf>
    <xf numFmtId="183" fontId="4" fillId="35" borderId="0" xfId="0" applyNumberFormat="1" applyFont="1" applyFill="1" applyBorder="1" applyAlignment="1" applyProtection="1">
      <alignment horizontal="center" vertical="center"/>
      <protection locked="0"/>
    </xf>
    <xf numFmtId="185" fontId="4" fillId="39" borderId="0" xfId="0" applyNumberFormat="1" applyFont="1" applyFill="1" applyBorder="1" applyAlignment="1" applyProtection="1">
      <alignment horizontal="center" vertical="center"/>
      <protection locked="0"/>
    </xf>
    <xf numFmtId="175" fontId="4" fillId="37" borderId="0" xfId="0" applyNumberFormat="1" applyFont="1" applyFill="1" applyBorder="1" applyAlignment="1" applyProtection="1">
      <alignment horizontal="center" vertical="center"/>
      <protection locked="0"/>
    </xf>
    <xf numFmtId="0" fontId="4" fillId="43" borderId="0" xfId="0" applyFont="1" applyFill="1" applyBorder="1" applyAlignment="1" applyProtection="1">
      <alignment/>
      <protection/>
    </xf>
    <xf numFmtId="169" fontId="4" fillId="43" borderId="0" xfId="0" applyNumberFormat="1" applyFont="1" applyFill="1" applyBorder="1" applyAlignment="1" applyProtection="1">
      <alignment/>
      <protection/>
    </xf>
    <xf numFmtId="4" fontId="4" fillId="43" borderId="0" xfId="0" applyNumberFormat="1" applyFont="1" applyFill="1" applyBorder="1" applyAlignment="1" applyProtection="1">
      <alignment/>
      <protection/>
    </xf>
    <xf numFmtId="0" fontId="0" fillId="43" borderId="17" xfId="0" applyFill="1" applyBorder="1" applyAlignment="1" applyProtection="1">
      <alignment/>
      <protection/>
    </xf>
    <xf numFmtId="0" fontId="4" fillId="43" borderId="18" xfId="0" applyFont="1" applyFill="1" applyBorder="1" applyAlignment="1" applyProtection="1">
      <alignment/>
      <protection/>
    </xf>
    <xf numFmtId="0" fontId="11" fillId="43" borderId="18" xfId="0" applyFont="1" applyFill="1" applyBorder="1" applyAlignment="1" applyProtection="1">
      <alignment/>
      <protection/>
    </xf>
    <xf numFmtId="0" fontId="0" fillId="43" borderId="18" xfId="0" applyFill="1" applyBorder="1" applyAlignment="1" applyProtection="1">
      <alignment/>
      <protection/>
    </xf>
    <xf numFmtId="0" fontId="0" fillId="43" borderId="19" xfId="0" applyFill="1" applyBorder="1" applyAlignment="1" applyProtection="1">
      <alignment/>
      <protection/>
    </xf>
    <xf numFmtId="0" fontId="0" fillId="43" borderId="20" xfId="0" applyFill="1" applyBorder="1" applyAlignment="1" applyProtection="1">
      <alignment/>
      <protection/>
    </xf>
    <xf numFmtId="0" fontId="0" fillId="43" borderId="21" xfId="0" applyFill="1" applyBorder="1" applyAlignment="1" applyProtection="1">
      <alignment/>
      <protection/>
    </xf>
    <xf numFmtId="0" fontId="0" fillId="43" borderId="22" xfId="0" applyFill="1" applyBorder="1" applyAlignment="1" applyProtection="1">
      <alignment/>
      <protection/>
    </xf>
    <xf numFmtId="0" fontId="0" fillId="43" borderId="23" xfId="0" applyFill="1" applyBorder="1" applyAlignment="1" applyProtection="1">
      <alignment/>
      <protection/>
    </xf>
    <xf numFmtId="0" fontId="0" fillId="43" borderId="24" xfId="0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0" fontId="9" fillId="43" borderId="0" xfId="0" applyFont="1" applyFill="1" applyBorder="1" applyAlignment="1" applyProtection="1">
      <alignment/>
      <protection/>
    </xf>
    <xf numFmtId="0" fontId="11" fillId="43" borderId="20" xfId="0" applyFont="1" applyFill="1" applyBorder="1" applyAlignment="1" applyProtection="1">
      <alignment vertical="top"/>
      <protection/>
    </xf>
    <xf numFmtId="0" fontId="11" fillId="43" borderId="0" xfId="0" applyFont="1" applyFill="1" applyBorder="1" applyAlignment="1" applyProtection="1">
      <alignment horizontal="center" vertical="top"/>
      <protection/>
    </xf>
    <xf numFmtId="0" fontId="11" fillId="43" borderId="0" xfId="0" applyFont="1" applyFill="1" applyBorder="1" applyAlignment="1" applyProtection="1">
      <alignment vertical="top"/>
      <protection/>
    </xf>
    <xf numFmtId="0" fontId="11" fillId="43" borderId="21" xfId="0" applyFont="1" applyFill="1" applyBorder="1" applyAlignment="1" applyProtection="1">
      <alignment vertical="top"/>
      <protection/>
    </xf>
    <xf numFmtId="0" fontId="4" fillId="43" borderId="20" xfId="0" applyFont="1" applyFill="1" applyBorder="1" applyAlignment="1" applyProtection="1">
      <alignment horizontal="right"/>
      <protection/>
    </xf>
    <xf numFmtId="168" fontId="4" fillId="43" borderId="0" xfId="0" applyNumberFormat="1" applyFont="1" applyFill="1" applyBorder="1" applyAlignment="1" applyProtection="1">
      <alignment horizontal="center"/>
      <protection/>
    </xf>
    <xf numFmtId="0" fontId="4" fillId="43" borderId="0" xfId="0" applyFont="1" applyFill="1" applyBorder="1" applyAlignment="1" applyProtection="1">
      <alignment horizontal="right"/>
      <protection/>
    </xf>
    <xf numFmtId="0" fontId="0" fillId="43" borderId="0" xfId="0" applyFill="1" applyBorder="1" applyAlignment="1" applyProtection="1">
      <alignment horizontal="left"/>
      <protection/>
    </xf>
    <xf numFmtId="0" fontId="4" fillId="43" borderId="21" xfId="0" applyFont="1" applyFill="1" applyBorder="1" applyAlignment="1" applyProtection="1">
      <alignment horizontal="right"/>
      <protection/>
    </xf>
    <xf numFmtId="0" fontId="0" fillId="43" borderId="0" xfId="0" applyFont="1" applyFill="1" applyBorder="1" applyAlignment="1" applyProtection="1">
      <alignment/>
      <protection/>
    </xf>
    <xf numFmtId="172" fontId="6" fillId="43" borderId="0" xfId="0" applyNumberFormat="1" applyFont="1" applyFill="1" applyBorder="1" applyAlignment="1" applyProtection="1">
      <alignment vertical="center"/>
      <protection/>
    </xf>
    <xf numFmtId="168" fontId="4" fillId="43" borderId="0" xfId="0" applyNumberFormat="1" applyFont="1" applyFill="1" applyBorder="1" applyAlignment="1" applyProtection="1">
      <alignment horizontal="center" vertical="center"/>
      <protection/>
    </xf>
    <xf numFmtId="173" fontId="4" fillId="33" borderId="10" xfId="0" applyNumberFormat="1" applyFont="1" applyFill="1" applyBorder="1" applyAlignment="1" applyProtection="1">
      <alignment horizontal="center" vertical="center"/>
      <protection/>
    </xf>
    <xf numFmtId="168" fontId="4" fillId="33" borderId="10" xfId="0" applyNumberFormat="1" applyFont="1" applyFill="1" applyBorder="1" applyAlignment="1" applyProtection="1">
      <alignment horizontal="center" vertical="center"/>
      <protection/>
    </xf>
    <xf numFmtId="181" fontId="4" fillId="34" borderId="10" xfId="0" applyNumberFormat="1" applyFont="1" applyFill="1" applyBorder="1" applyAlignment="1" applyProtection="1">
      <alignment horizontal="center" vertical="center"/>
      <protection/>
    </xf>
    <xf numFmtId="168" fontId="4" fillId="34" borderId="10" xfId="0" applyNumberFormat="1" applyFont="1" applyFill="1" applyBorder="1" applyAlignment="1" applyProtection="1">
      <alignment horizontal="center" vertical="center"/>
      <protection/>
    </xf>
    <xf numFmtId="183" fontId="4" fillId="35" borderId="10" xfId="0" applyNumberFormat="1" applyFont="1" applyFill="1" applyBorder="1" applyAlignment="1" applyProtection="1">
      <alignment horizontal="center" vertical="center"/>
      <protection/>
    </xf>
    <xf numFmtId="168" fontId="4" fillId="35" borderId="10" xfId="0" applyNumberFormat="1" applyFont="1" applyFill="1" applyBorder="1" applyAlignment="1" applyProtection="1">
      <alignment horizontal="center" vertical="center"/>
      <protection/>
    </xf>
    <xf numFmtId="185" fontId="4" fillId="39" borderId="10" xfId="0" applyNumberFormat="1" applyFont="1" applyFill="1" applyBorder="1" applyAlignment="1" applyProtection="1">
      <alignment horizontal="center" vertical="center"/>
      <protection/>
    </xf>
    <xf numFmtId="168" fontId="4" fillId="39" borderId="10" xfId="0" applyNumberFormat="1" applyFont="1" applyFill="1" applyBorder="1" applyAlignment="1" applyProtection="1">
      <alignment horizontal="center" vertical="center"/>
      <protection/>
    </xf>
    <xf numFmtId="186" fontId="4" fillId="37" borderId="10" xfId="0" applyNumberFormat="1" applyFont="1" applyFill="1" applyBorder="1" applyAlignment="1" applyProtection="1">
      <alignment horizontal="center" vertical="center"/>
      <protection/>
    </xf>
    <xf numFmtId="168" fontId="4" fillId="37" borderId="10" xfId="0" applyNumberFormat="1" applyFont="1" applyFill="1" applyBorder="1" applyAlignment="1" applyProtection="1">
      <alignment horizontal="center" vertical="center"/>
      <protection/>
    </xf>
    <xf numFmtId="168" fontId="4" fillId="34" borderId="16" xfId="0" applyNumberFormat="1" applyFont="1" applyFill="1" applyBorder="1" applyAlignment="1" applyProtection="1">
      <alignment horizontal="center"/>
      <protection/>
    </xf>
    <xf numFmtId="168" fontId="4" fillId="35" borderId="16" xfId="0" applyNumberFormat="1" applyFont="1" applyFill="1" applyBorder="1" applyAlignment="1" applyProtection="1">
      <alignment horizontal="center"/>
      <protection/>
    </xf>
    <xf numFmtId="168" fontId="4" fillId="39" borderId="16" xfId="0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7" fillId="0" borderId="21" xfId="0" applyFont="1" applyFill="1" applyBorder="1" applyAlignment="1" applyProtection="1">
      <alignment vertical="center"/>
      <protection/>
    </xf>
    <xf numFmtId="0" fontId="10" fillId="43" borderId="18" xfId="0" applyFont="1" applyFill="1" applyBorder="1" applyAlignment="1" applyProtection="1">
      <alignment/>
      <protection/>
    </xf>
    <xf numFmtId="0" fontId="9" fillId="43" borderId="0" xfId="0" applyFont="1" applyFill="1" applyBorder="1" applyAlignment="1" applyProtection="1">
      <alignment horizontal="center"/>
      <protection/>
    </xf>
    <xf numFmtId="0" fontId="7" fillId="43" borderId="21" xfId="0" applyFont="1" applyFill="1" applyBorder="1" applyAlignment="1" applyProtection="1">
      <alignment vertical="center"/>
      <protection/>
    </xf>
    <xf numFmtId="0" fontId="0" fillId="43" borderId="10" xfId="0" applyFill="1" applyBorder="1" applyAlignment="1" applyProtection="1">
      <alignment horizontal="center" vertical="center"/>
      <protection/>
    </xf>
    <xf numFmtId="0" fontId="4" fillId="43" borderId="10" xfId="0" applyFont="1" applyFill="1" applyBorder="1" applyAlignment="1" applyProtection="1">
      <alignment horizontal="center" vertical="center"/>
      <protection/>
    </xf>
    <xf numFmtId="49" fontId="1" fillId="43" borderId="0" xfId="0" applyNumberFormat="1" applyFont="1" applyFill="1" applyBorder="1" applyAlignment="1" applyProtection="1">
      <alignment vertical="top"/>
      <protection/>
    </xf>
    <xf numFmtId="170" fontId="9" fillId="43" borderId="0" xfId="0" applyNumberFormat="1" applyFont="1" applyFill="1" applyBorder="1" applyAlignment="1" applyProtection="1">
      <alignment/>
      <protection/>
    </xf>
    <xf numFmtId="49" fontId="11" fillId="43" borderId="0" xfId="0" applyNumberFormat="1" applyFont="1" applyFill="1" applyBorder="1" applyAlignment="1" applyProtection="1">
      <alignment horizontal="center" vertical="top"/>
      <protection/>
    </xf>
    <xf numFmtId="49" fontId="1" fillId="43" borderId="0" xfId="0" applyNumberFormat="1" applyFont="1" applyFill="1" applyBorder="1" applyAlignment="1" applyProtection="1">
      <alignment horizontal="center" vertical="top"/>
      <protection/>
    </xf>
    <xf numFmtId="182" fontId="1" fillId="43" borderId="0" xfId="0" applyNumberFormat="1" applyFont="1" applyFill="1" applyBorder="1" applyAlignment="1" applyProtection="1">
      <alignment horizontal="center" vertical="top"/>
      <protection/>
    </xf>
    <xf numFmtId="189" fontId="1" fillId="43" borderId="23" xfId="0" applyNumberFormat="1" applyFont="1" applyFill="1" applyBorder="1" applyAlignment="1" applyProtection="1">
      <alignment horizontal="center" vertical="top"/>
      <protection/>
    </xf>
    <xf numFmtId="0" fontId="2" fillId="43" borderId="0" xfId="0" applyFont="1" applyFill="1" applyBorder="1" applyAlignment="1" applyProtection="1">
      <alignment/>
      <protection/>
    </xf>
    <xf numFmtId="0" fontId="14" fillId="40" borderId="13" xfId="0" applyFont="1" applyFill="1" applyBorder="1" applyAlignment="1" applyProtection="1">
      <alignment horizontal="center"/>
      <protection/>
    </xf>
    <xf numFmtId="0" fontId="4" fillId="40" borderId="13" xfId="0" applyFont="1" applyFill="1" applyBorder="1" applyAlignment="1" applyProtection="1">
      <alignment horizontal="center"/>
      <protection/>
    </xf>
    <xf numFmtId="184" fontId="4" fillId="38" borderId="10" xfId="0" applyNumberFormat="1" applyFont="1" applyFill="1" applyBorder="1" applyAlignment="1" applyProtection="1">
      <alignment horizontal="center" vertical="center"/>
      <protection/>
    </xf>
    <xf numFmtId="168" fontId="4" fillId="38" borderId="10" xfId="0" applyNumberFormat="1" applyFont="1" applyFill="1" applyBorder="1" applyAlignment="1" applyProtection="1">
      <alignment horizontal="center" vertical="center"/>
      <protection/>
    </xf>
    <xf numFmtId="184" fontId="4" fillId="38" borderId="0" xfId="0" applyNumberFormat="1" applyFont="1" applyFill="1" applyBorder="1" applyAlignment="1" applyProtection="1">
      <alignment horizontal="center" vertical="center"/>
      <protection locked="0"/>
    </xf>
    <xf numFmtId="168" fontId="4" fillId="38" borderId="0" xfId="0" applyNumberFormat="1" applyFont="1" applyFill="1" applyBorder="1" applyAlignment="1" applyProtection="1">
      <alignment horizontal="center" vertical="center"/>
      <protection/>
    </xf>
    <xf numFmtId="177" fontId="0" fillId="34" borderId="0" xfId="0" applyNumberFormat="1" applyFont="1" applyFill="1" applyBorder="1" applyAlignment="1" applyProtection="1">
      <alignment horizontal="center" vertical="center" wrapText="1"/>
      <protection/>
    </xf>
    <xf numFmtId="0" fontId="9" fillId="43" borderId="18" xfId="0" applyFont="1" applyFill="1" applyBorder="1" applyAlignment="1" applyProtection="1">
      <alignment/>
      <protection/>
    </xf>
    <xf numFmtId="170" fontId="9" fillId="43" borderId="18" xfId="0" applyNumberFormat="1" applyFont="1" applyFill="1" applyBorder="1" applyAlignment="1" applyProtection="1">
      <alignment/>
      <protection/>
    </xf>
    <xf numFmtId="0" fontId="4" fillId="43" borderId="25" xfId="0" applyFont="1" applyFill="1" applyBorder="1" applyAlignment="1" applyProtection="1">
      <alignment horizontal="right"/>
      <protection/>
    </xf>
    <xf numFmtId="1" fontId="1" fillId="43" borderId="0" xfId="0" applyNumberFormat="1" applyFont="1" applyFill="1" applyBorder="1" applyAlignment="1" applyProtection="1">
      <alignment horizontal="center" vertical="top"/>
      <protection/>
    </xf>
    <xf numFmtId="0" fontId="9" fillId="40" borderId="0" xfId="0" applyFont="1" applyFill="1" applyBorder="1" applyAlignment="1" applyProtection="1">
      <alignment/>
      <protection/>
    </xf>
    <xf numFmtId="0" fontId="11" fillId="40" borderId="0" xfId="0" applyFont="1" applyFill="1" applyBorder="1" applyAlignment="1" applyProtection="1">
      <alignment horizontal="center" vertical="top"/>
      <protection/>
    </xf>
    <xf numFmtId="0" fontId="9" fillId="40" borderId="0" xfId="0" applyFont="1" applyFill="1" applyBorder="1" applyAlignment="1" applyProtection="1">
      <alignment horizontal="center"/>
      <protection/>
    </xf>
    <xf numFmtId="49" fontId="11" fillId="40" borderId="0" xfId="0" applyNumberFormat="1" applyFont="1" applyFill="1" applyBorder="1" applyAlignment="1" applyProtection="1">
      <alignment horizontal="center" vertical="top"/>
      <protection/>
    </xf>
    <xf numFmtId="0" fontId="4" fillId="38" borderId="16" xfId="0" applyFont="1" applyFill="1" applyBorder="1" applyAlignment="1" applyProtection="1">
      <alignment/>
      <protection/>
    </xf>
    <xf numFmtId="168" fontId="4" fillId="38" borderId="16" xfId="0" applyNumberFormat="1" applyFont="1" applyFill="1" applyBorder="1" applyAlignment="1" applyProtection="1">
      <alignment horizontal="center"/>
      <protection/>
    </xf>
    <xf numFmtId="0" fontId="11" fillId="40" borderId="20" xfId="0" applyFont="1" applyFill="1" applyBorder="1" applyAlignment="1" applyProtection="1">
      <alignment/>
      <protection/>
    </xf>
    <xf numFmtId="0" fontId="11" fillId="40" borderId="0" xfId="0" applyFont="1" applyFill="1" applyBorder="1" applyAlignment="1" applyProtection="1">
      <alignment horizontal="center"/>
      <protection/>
    </xf>
    <xf numFmtId="0" fontId="11" fillId="40" borderId="0" xfId="0" applyFont="1" applyFill="1" applyBorder="1" applyAlignment="1" applyProtection="1">
      <alignment/>
      <protection/>
    </xf>
    <xf numFmtId="0" fontId="11" fillId="43" borderId="15" xfId="0" applyFont="1" applyFill="1" applyBorder="1" applyAlignment="1" applyProtection="1">
      <alignment vertical="top"/>
      <protection/>
    </xf>
    <xf numFmtId="0" fontId="11" fillId="43" borderId="15" xfId="0" applyFont="1" applyFill="1" applyBorder="1" applyAlignment="1" applyProtection="1">
      <alignment horizontal="center" vertical="top"/>
      <protection/>
    </xf>
    <xf numFmtId="0" fontId="11" fillId="40" borderId="26" xfId="0" applyFont="1" applyFill="1" applyBorder="1" applyAlignment="1" applyProtection="1">
      <alignment horizontal="center"/>
      <protection/>
    </xf>
    <xf numFmtId="0" fontId="11" fillId="40" borderId="27" xfId="0" applyFont="1" applyFill="1" applyBorder="1" applyAlignment="1" applyProtection="1">
      <alignment horizontal="center"/>
      <protection/>
    </xf>
    <xf numFmtId="0" fontId="11" fillId="40" borderId="28" xfId="0" applyFont="1" applyFill="1" applyBorder="1" applyAlignment="1" applyProtection="1">
      <alignment horizontal="center"/>
      <protection/>
    </xf>
    <xf numFmtId="0" fontId="11" fillId="33" borderId="29" xfId="0" applyFont="1" applyFill="1" applyBorder="1" applyAlignment="1" applyProtection="1">
      <alignment/>
      <protection/>
    </xf>
    <xf numFmtId="0" fontId="11" fillId="34" borderId="29" xfId="0" applyFont="1" applyFill="1" applyBorder="1" applyAlignment="1" applyProtection="1">
      <alignment/>
      <protection/>
    </xf>
    <xf numFmtId="0" fontId="11" fillId="35" borderId="29" xfId="0" applyFont="1" applyFill="1" applyBorder="1" applyAlignment="1" applyProtection="1">
      <alignment/>
      <protection/>
    </xf>
    <xf numFmtId="0" fontId="11" fillId="39" borderId="29" xfId="0" applyFont="1" applyFill="1" applyBorder="1" applyAlignment="1" applyProtection="1">
      <alignment/>
      <protection/>
    </xf>
    <xf numFmtId="0" fontId="11" fillId="37" borderId="29" xfId="0" applyFont="1" applyFill="1" applyBorder="1" applyAlignment="1" applyProtection="1">
      <alignment/>
      <protection/>
    </xf>
    <xf numFmtId="0" fontId="11" fillId="38" borderId="30" xfId="0" applyFont="1" applyFill="1" applyBorder="1" applyAlignment="1" applyProtection="1">
      <alignment/>
      <protection/>
    </xf>
    <xf numFmtId="0" fontId="11" fillId="40" borderId="18" xfId="0" applyFont="1" applyFill="1" applyBorder="1" applyAlignment="1" applyProtection="1">
      <alignment/>
      <protection/>
    </xf>
    <xf numFmtId="0" fontId="11" fillId="40" borderId="31" xfId="0" applyFont="1" applyFill="1" applyBorder="1" applyAlignment="1" applyProtection="1">
      <alignment/>
      <protection/>
    </xf>
    <xf numFmtId="0" fontId="11" fillId="33" borderId="32" xfId="0" applyFont="1" applyFill="1" applyBorder="1" applyAlignment="1" applyProtection="1">
      <alignment horizontal="right"/>
      <protection/>
    </xf>
    <xf numFmtId="0" fontId="11" fillId="34" borderId="29" xfId="0" applyFont="1" applyFill="1" applyBorder="1" applyAlignment="1" applyProtection="1">
      <alignment horizontal="right"/>
      <protection/>
    </xf>
    <xf numFmtId="0" fontId="11" fillId="35" borderId="29" xfId="0" applyFont="1" applyFill="1" applyBorder="1" applyAlignment="1" applyProtection="1">
      <alignment horizontal="right"/>
      <protection/>
    </xf>
    <xf numFmtId="0" fontId="11" fillId="39" borderId="29" xfId="0" applyFont="1" applyFill="1" applyBorder="1" applyAlignment="1" applyProtection="1">
      <alignment horizontal="right"/>
      <protection/>
    </xf>
    <xf numFmtId="0" fontId="11" fillId="37" borderId="29" xfId="0" applyFont="1" applyFill="1" applyBorder="1" applyAlignment="1" applyProtection="1">
      <alignment horizontal="right"/>
      <protection/>
    </xf>
    <xf numFmtId="0" fontId="11" fillId="40" borderId="33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9" fillId="40" borderId="34" xfId="0" applyFont="1" applyFill="1" applyBorder="1" applyAlignment="1">
      <alignment/>
    </xf>
    <xf numFmtId="168" fontId="9" fillId="40" borderId="35" xfId="0" applyNumberFormat="1" applyFont="1" applyFill="1" applyBorder="1" applyAlignment="1">
      <alignment horizontal="center"/>
    </xf>
    <xf numFmtId="0" fontId="9" fillId="40" borderId="36" xfId="0" applyFont="1" applyFill="1" applyBorder="1" applyAlignment="1">
      <alignment/>
    </xf>
    <xf numFmtId="179" fontId="9" fillId="40" borderId="37" xfId="0" applyNumberFormat="1" applyFont="1" applyFill="1" applyBorder="1" applyAlignment="1">
      <alignment/>
    </xf>
    <xf numFmtId="49" fontId="1" fillId="43" borderId="15" xfId="0" applyNumberFormat="1" applyFont="1" applyFill="1" applyBorder="1" applyAlignment="1" applyProtection="1">
      <alignment horizontal="center" vertical="top"/>
      <protection/>
    </xf>
    <xf numFmtId="49" fontId="1" fillId="43" borderId="38" xfId="0" applyNumberFormat="1" applyFont="1" applyFill="1" applyBorder="1" applyAlignment="1" applyProtection="1">
      <alignment horizontal="center" vertical="top"/>
      <protection/>
    </xf>
    <xf numFmtId="173" fontId="1" fillId="43" borderId="15" xfId="0" applyNumberFormat="1" applyFont="1" applyFill="1" applyBorder="1" applyAlignment="1" applyProtection="1">
      <alignment horizontal="center" vertical="top"/>
      <protection/>
    </xf>
    <xf numFmtId="181" fontId="1" fillId="43" borderId="15" xfId="0" applyNumberFormat="1" applyFont="1" applyFill="1" applyBorder="1" applyAlignment="1" applyProtection="1">
      <alignment horizontal="center" vertical="top"/>
      <protection/>
    </xf>
    <xf numFmtId="183" fontId="1" fillId="43" borderId="15" xfId="0" applyNumberFormat="1" applyFont="1" applyFill="1" applyBorder="1" applyAlignment="1" applyProtection="1">
      <alignment horizontal="center" vertical="top"/>
      <protection/>
    </xf>
    <xf numFmtId="185" fontId="1" fillId="43" borderId="15" xfId="0" applyNumberFormat="1" applyFont="1" applyFill="1" applyBorder="1" applyAlignment="1" applyProtection="1">
      <alignment horizontal="center" vertical="top"/>
      <protection/>
    </xf>
    <xf numFmtId="186" fontId="1" fillId="43" borderId="15" xfId="0" applyNumberFormat="1" applyFont="1" applyFill="1" applyBorder="1" applyAlignment="1" applyProtection="1">
      <alignment horizontal="center" vertical="top"/>
      <protection/>
    </xf>
    <xf numFmtId="184" fontId="1" fillId="43" borderId="38" xfId="0" applyNumberFormat="1" applyFont="1" applyFill="1" applyBorder="1" applyAlignment="1" applyProtection="1">
      <alignment horizontal="center" vertical="top"/>
      <protection/>
    </xf>
    <xf numFmtId="0" fontId="11" fillId="42" borderId="0" xfId="0" applyFont="1" applyFill="1" applyBorder="1" applyAlignment="1" applyProtection="1">
      <alignment horizontal="center" vertical="top"/>
      <protection/>
    </xf>
    <xf numFmtId="0" fontId="0" fillId="42" borderId="0" xfId="0" applyFill="1" applyBorder="1" applyAlignment="1" applyProtection="1">
      <alignment/>
      <protection/>
    </xf>
    <xf numFmtId="169" fontId="4" fillId="33" borderId="39" xfId="0" applyNumberFormat="1" applyFont="1" applyFill="1" applyBorder="1" applyAlignment="1" applyProtection="1">
      <alignment horizontal="center"/>
      <protection locked="0"/>
    </xf>
    <xf numFmtId="169" fontId="4" fillId="34" borderId="10" xfId="0" applyNumberFormat="1" applyFont="1" applyFill="1" applyBorder="1" applyAlignment="1" applyProtection="1">
      <alignment horizontal="center"/>
      <protection locked="0"/>
    </xf>
    <xf numFmtId="169" fontId="4" fillId="35" borderId="10" xfId="0" applyNumberFormat="1" applyFont="1" applyFill="1" applyBorder="1" applyAlignment="1" applyProtection="1">
      <alignment horizontal="center"/>
      <protection locked="0"/>
    </xf>
    <xf numFmtId="174" fontId="4" fillId="39" borderId="10" xfId="0" applyNumberFormat="1" applyFont="1" applyFill="1" applyBorder="1" applyAlignment="1" applyProtection="1">
      <alignment horizontal="center"/>
      <protection locked="0"/>
    </xf>
    <xf numFmtId="169" fontId="4" fillId="37" borderId="10" xfId="0" applyNumberFormat="1" applyFont="1" applyFill="1" applyBorder="1" applyAlignment="1" applyProtection="1">
      <alignment horizontal="center"/>
      <protection locked="0"/>
    </xf>
    <xf numFmtId="176" fontId="4" fillId="38" borderId="10" xfId="0" applyNumberFormat="1" applyFont="1" applyFill="1" applyBorder="1" applyAlignment="1" applyProtection="1">
      <alignment horizontal="center"/>
      <protection locked="0"/>
    </xf>
    <xf numFmtId="168" fontId="11" fillId="33" borderId="27" xfId="0" applyNumberFormat="1" applyFont="1" applyFill="1" applyBorder="1" applyAlignment="1" applyProtection="1">
      <alignment horizontal="center"/>
      <protection locked="0"/>
    </xf>
    <xf numFmtId="168" fontId="11" fillId="34" borderId="27" xfId="0" applyNumberFormat="1" applyFont="1" applyFill="1" applyBorder="1" applyAlignment="1" applyProtection="1">
      <alignment horizontal="center"/>
      <protection locked="0"/>
    </xf>
    <xf numFmtId="168" fontId="11" fillId="35" borderId="27" xfId="0" applyNumberFormat="1" applyFont="1" applyFill="1" applyBorder="1" applyAlignment="1" applyProtection="1">
      <alignment horizontal="center"/>
      <protection locked="0"/>
    </xf>
    <xf numFmtId="168" fontId="11" fillId="39" borderId="27" xfId="0" applyNumberFormat="1" applyFont="1" applyFill="1" applyBorder="1" applyAlignment="1" applyProtection="1">
      <alignment horizontal="center"/>
      <protection locked="0"/>
    </xf>
    <xf numFmtId="168" fontId="11" fillId="37" borderId="27" xfId="0" applyNumberFormat="1" applyFont="1" applyFill="1" applyBorder="1" applyAlignment="1" applyProtection="1">
      <alignment horizontal="center"/>
      <protection locked="0"/>
    </xf>
    <xf numFmtId="168" fontId="11" fillId="38" borderId="40" xfId="0" applyNumberFormat="1" applyFont="1" applyFill="1" applyBorder="1" applyAlignment="1" applyProtection="1">
      <alignment horizontal="center"/>
      <protection locked="0"/>
    </xf>
    <xf numFmtId="169" fontId="11" fillId="33" borderId="27" xfId="0" applyNumberFormat="1" applyFont="1" applyFill="1" applyBorder="1" applyAlignment="1" applyProtection="1">
      <alignment horizontal="center"/>
      <protection/>
    </xf>
    <xf numFmtId="169" fontId="11" fillId="34" borderId="27" xfId="0" applyNumberFormat="1" applyFont="1" applyFill="1" applyBorder="1" applyAlignment="1" applyProtection="1">
      <alignment horizontal="center"/>
      <protection/>
    </xf>
    <xf numFmtId="169" fontId="11" fillId="35" borderId="27" xfId="0" applyNumberFormat="1" applyFont="1" applyFill="1" applyBorder="1" applyAlignment="1" applyProtection="1">
      <alignment horizontal="center"/>
      <protection/>
    </xf>
    <xf numFmtId="174" fontId="11" fillId="39" borderId="27" xfId="0" applyNumberFormat="1" applyFont="1" applyFill="1" applyBorder="1" applyAlignment="1" applyProtection="1">
      <alignment horizontal="center"/>
      <protection/>
    </xf>
    <xf numFmtId="169" fontId="11" fillId="37" borderId="27" xfId="0" applyNumberFormat="1" applyFont="1" applyFill="1" applyBorder="1" applyAlignment="1" applyProtection="1">
      <alignment horizontal="center"/>
      <protection/>
    </xf>
    <xf numFmtId="176" fontId="11" fillId="38" borderId="40" xfId="0" applyNumberFormat="1" applyFont="1" applyFill="1" applyBorder="1" applyAlignment="1" applyProtection="1">
      <alignment horizontal="center"/>
      <protection/>
    </xf>
    <xf numFmtId="169" fontId="11" fillId="33" borderId="28" xfId="0" applyNumberFormat="1" applyFont="1" applyFill="1" applyBorder="1" applyAlignment="1" applyProtection="1">
      <alignment horizontal="center"/>
      <protection/>
    </xf>
    <xf numFmtId="169" fontId="11" fillId="34" borderId="28" xfId="0" applyNumberFormat="1" applyFont="1" applyFill="1" applyBorder="1" applyAlignment="1" applyProtection="1">
      <alignment horizontal="center"/>
      <protection/>
    </xf>
    <xf numFmtId="169" fontId="11" fillId="35" borderId="28" xfId="0" applyNumberFormat="1" applyFont="1" applyFill="1" applyBorder="1" applyAlignment="1" applyProtection="1">
      <alignment horizontal="center"/>
      <protection/>
    </xf>
    <xf numFmtId="174" fontId="11" fillId="39" borderId="28" xfId="0" applyNumberFormat="1" applyFont="1" applyFill="1" applyBorder="1" applyAlignment="1" applyProtection="1">
      <alignment horizontal="center"/>
      <protection/>
    </xf>
    <xf numFmtId="169" fontId="11" fillId="37" borderId="28" xfId="0" applyNumberFormat="1" applyFont="1" applyFill="1" applyBorder="1" applyAlignment="1" applyProtection="1">
      <alignment horizontal="center"/>
      <protection/>
    </xf>
    <xf numFmtId="168" fontId="0" fillId="44" borderId="41" xfId="0" applyNumberFormat="1" applyFill="1" applyBorder="1" applyAlignment="1">
      <alignment/>
    </xf>
    <xf numFmtId="178" fontId="0" fillId="44" borderId="42" xfId="0" applyNumberFormat="1" applyFill="1" applyBorder="1" applyAlignment="1">
      <alignment/>
    </xf>
    <xf numFmtId="0" fontId="0" fillId="44" borderId="43" xfId="0" applyFill="1" applyBorder="1" applyAlignment="1">
      <alignment horizontal="center"/>
    </xf>
    <xf numFmtId="0" fontId="0" fillId="44" borderId="44" xfId="0" applyFill="1" applyBorder="1" applyAlignment="1">
      <alignment/>
    </xf>
    <xf numFmtId="178" fontId="0" fillId="44" borderId="45" xfId="0" applyNumberFormat="1" applyFill="1" applyBorder="1" applyAlignment="1">
      <alignment/>
    </xf>
    <xf numFmtId="0" fontId="0" fillId="44" borderId="46" xfId="0" applyFill="1" applyBorder="1" applyAlignment="1">
      <alignment horizontal="center"/>
    </xf>
    <xf numFmtId="0" fontId="0" fillId="45" borderId="0" xfId="0" applyFill="1" applyAlignment="1" applyProtection="1">
      <alignment/>
      <protection/>
    </xf>
    <xf numFmtId="0" fontId="9" fillId="45" borderId="0" xfId="0" applyFont="1" applyFill="1" applyAlignment="1" applyProtection="1">
      <alignment/>
      <protection/>
    </xf>
    <xf numFmtId="0" fontId="11" fillId="45" borderId="0" xfId="0" applyFont="1" applyFill="1" applyAlignment="1" applyProtection="1">
      <alignment horizontal="center" vertical="top"/>
      <protection/>
    </xf>
    <xf numFmtId="168" fontId="4" fillId="45" borderId="0" xfId="0" applyNumberFormat="1" applyFont="1" applyFill="1" applyBorder="1" applyAlignment="1" applyProtection="1">
      <alignment horizontal="center"/>
      <protection/>
    </xf>
    <xf numFmtId="1" fontId="1" fillId="45" borderId="0" xfId="0" applyNumberFormat="1" applyFont="1" applyFill="1" applyAlignment="1" applyProtection="1">
      <alignment horizontal="center" vertical="top"/>
      <protection/>
    </xf>
    <xf numFmtId="0" fontId="0" fillId="45" borderId="0" xfId="0" applyFill="1" applyBorder="1" applyAlignment="1" applyProtection="1">
      <alignment/>
      <protection/>
    </xf>
    <xf numFmtId="0" fontId="11" fillId="45" borderId="0" xfId="0" applyFont="1" applyFill="1" applyBorder="1" applyAlignment="1" applyProtection="1">
      <alignment horizontal="center" vertical="top"/>
      <protection/>
    </xf>
    <xf numFmtId="187" fontId="1" fillId="45" borderId="0" xfId="0" applyNumberFormat="1" applyFont="1" applyFill="1" applyBorder="1" applyAlignment="1" applyProtection="1">
      <alignment horizontal="center" vertical="top"/>
      <protection/>
    </xf>
    <xf numFmtId="169" fontId="0" fillId="45" borderId="0" xfId="0" applyNumberFormat="1" applyFill="1" applyAlignment="1" applyProtection="1">
      <alignment/>
      <protection/>
    </xf>
    <xf numFmtId="168" fontId="0" fillId="45" borderId="0" xfId="0" applyNumberFormat="1" applyFill="1" applyAlignment="1" applyProtection="1">
      <alignment/>
      <protection/>
    </xf>
    <xf numFmtId="0" fontId="9" fillId="45" borderId="0" xfId="0" applyFont="1" applyFill="1" applyAlignment="1" applyProtection="1">
      <alignment horizontal="center"/>
      <protection/>
    </xf>
    <xf numFmtId="0" fontId="15" fillId="45" borderId="0" xfId="0" applyFont="1" applyFill="1" applyAlignment="1" applyProtection="1">
      <alignment horizontal="left" vertical="center"/>
      <protection/>
    </xf>
    <xf numFmtId="0" fontId="7" fillId="45" borderId="0" xfId="0" applyFont="1" applyFill="1" applyBorder="1" applyAlignment="1" applyProtection="1">
      <alignment vertical="center"/>
      <protection/>
    </xf>
    <xf numFmtId="177" fontId="0" fillId="45" borderId="0" xfId="0" applyNumberFormat="1" applyFont="1" applyFill="1" applyBorder="1" applyAlignment="1" applyProtection="1">
      <alignment horizontal="center" vertical="center" wrapText="1"/>
      <protection/>
    </xf>
    <xf numFmtId="0" fontId="4" fillId="45" borderId="0" xfId="0" applyFont="1" applyFill="1" applyAlignment="1" applyProtection="1">
      <alignment/>
      <protection/>
    </xf>
    <xf numFmtId="0" fontId="11" fillId="45" borderId="0" xfId="0" applyFont="1" applyFill="1" applyAlignment="1" applyProtection="1">
      <alignment/>
      <protection/>
    </xf>
    <xf numFmtId="0" fontId="11" fillId="45" borderId="0" xfId="0" applyFont="1" applyFill="1" applyBorder="1" applyAlignment="1" applyProtection="1">
      <alignment/>
      <protection/>
    </xf>
    <xf numFmtId="0" fontId="11" fillId="45" borderId="23" xfId="0" applyFont="1" applyFill="1" applyBorder="1" applyAlignment="1" applyProtection="1">
      <alignment/>
      <protection/>
    </xf>
    <xf numFmtId="169" fontId="11" fillId="45" borderId="0" xfId="0" applyNumberFormat="1" applyFont="1" applyFill="1" applyBorder="1" applyAlignment="1" applyProtection="1">
      <alignment/>
      <protection/>
    </xf>
    <xf numFmtId="4" fontId="11" fillId="45" borderId="23" xfId="0" applyNumberFormat="1" applyFont="1" applyFill="1" applyBorder="1" applyAlignment="1" applyProtection="1">
      <alignment/>
      <protection/>
    </xf>
    <xf numFmtId="168" fontId="11" fillId="45" borderId="47" xfId="0" applyNumberFormat="1" applyFont="1" applyFill="1" applyBorder="1" applyAlignment="1" applyProtection="1">
      <alignment horizontal="center"/>
      <protection/>
    </xf>
    <xf numFmtId="0" fontId="11" fillId="45" borderId="48" xfId="0" applyFont="1" applyFill="1" applyBorder="1" applyAlignment="1" applyProtection="1">
      <alignment/>
      <protection/>
    </xf>
    <xf numFmtId="0" fontId="0" fillId="45" borderId="0" xfId="0" applyFill="1" applyAlignment="1">
      <alignment/>
    </xf>
    <xf numFmtId="0" fontId="0" fillId="45" borderId="0" xfId="0" applyFont="1" applyFill="1" applyAlignment="1">
      <alignment/>
    </xf>
    <xf numFmtId="0" fontId="0" fillId="45" borderId="0" xfId="0" applyFill="1" applyBorder="1" applyAlignment="1">
      <alignment/>
    </xf>
    <xf numFmtId="0" fontId="0" fillId="0" borderId="18" xfId="0" applyBorder="1" applyAlignment="1">
      <alignment/>
    </xf>
    <xf numFmtId="0" fontId="14" fillId="45" borderId="0" xfId="0" applyFont="1" applyFill="1" applyAlignment="1">
      <alignment/>
    </xf>
    <xf numFmtId="0" fontId="2" fillId="45" borderId="17" xfId="0" applyFont="1" applyFill="1" applyBorder="1" applyAlignment="1">
      <alignment/>
    </xf>
    <xf numFmtId="0" fontId="0" fillId="45" borderId="20" xfId="0" applyFill="1" applyBorder="1" applyAlignment="1">
      <alignment/>
    </xf>
    <xf numFmtId="0" fontId="0" fillId="45" borderId="22" xfId="0" applyFill="1" applyBorder="1" applyAlignment="1">
      <alignment/>
    </xf>
    <xf numFmtId="0" fontId="0" fillId="45" borderId="18" xfId="0" applyFill="1" applyBorder="1" applyAlignment="1">
      <alignment/>
    </xf>
    <xf numFmtId="168" fontId="0" fillId="45" borderId="0" xfId="0" applyNumberFormat="1" applyFill="1" applyBorder="1" applyAlignment="1">
      <alignment/>
    </xf>
    <xf numFmtId="178" fontId="0" fillId="45" borderId="0" xfId="0" applyNumberFormat="1" applyFill="1" applyBorder="1" applyAlignment="1">
      <alignment/>
    </xf>
    <xf numFmtId="180" fontId="0" fillId="45" borderId="0" xfId="0" applyNumberFormat="1" applyFill="1" applyBorder="1" applyAlignment="1">
      <alignment horizontal="center"/>
    </xf>
    <xf numFmtId="168" fontId="0" fillId="45" borderId="23" xfId="0" applyNumberFormat="1" applyFill="1" applyBorder="1" applyAlignment="1">
      <alignment/>
    </xf>
    <xf numFmtId="0" fontId="0" fillId="45" borderId="19" xfId="0" applyFill="1" applyBorder="1" applyAlignment="1">
      <alignment/>
    </xf>
    <xf numFmtId="0" fontId="0" fillId="45" borderId="21" xfId="0" applyFill="1" applyBorder="1" applyAlignment="1">
      <alignment/>
    </xf>
    <xf numFmtId="180" fontId="0" fillId="45" borderId="21" xfId="0" applyNumberFormat="1" applyFill="1" applyBorder="1" applyAlignment="1">
      <alignment horizontal="center"/>
    </xf>
    <xf numFmtId="168" fontId="0" fillId="45" borderId="24" xfId="0" applyNumberFormat="1" applyFill="1" applyBorder="1" applyAlignment="1">
      <alignment/>
    </xf>
    <xf numFmtId="0" fontId="1" fillId="45" borderId="0" xfId="0" applyFont="1" applyFill="1" applyAlignment="1" applyProtection="1">
      <alignment/>
      <protection/>
    </xf>
    <xf numFmtId="172" fontId="9" fillId="45" borderId="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9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190" fontId="4" fillId="33" borderId="10" xfId="0" applyNumberFormat="1" applyFont="1" applyFill="1" applyBorder="1" applyAlignment="1" applyProtection="1">
      <alignment horizontal="center" vertical="center"/>
      <protection/>
    </xf>
    <xf numFmtId="190" fontId="4" fillId="34" borderId="10" xfId="0" applyNumberFormat="1" applyFont="1" applyFill="1" applyBorder="1" applyAlignment="1" applyProtection="1">
      <alignment horizontal="center" vertical="center"/>
      <protection/>
    </xf>
    <xf numFmtId="190" fontId="4" fillId="35" borderId="10" xfId="0" applyNumberFormat="1" applyFont="1" applyFill="1" applyBorder="1" applyAlignment="1" applyProtection="1">
      <alignment horizontal="center" vertical="center"/>
      <protection/>
    </xf>
    <xf numFmtId="190" fontId="4" fillId="39" borderId="10" xfId="0" applyNumberFormat="1" applyFont="1" applyFill="1" applyBorder="1" applyAlignment="1" applyProtection="1">
      <alignment horizontal="center" vertical="center"/>
      <protection/>
    </xf>
    <xf numFmtId="190" fontId="4" fillId="37" borderId="10" xfId="0" applyNumberFormat="1" applyFont="1" applyFill="1" applyBorder="1" applyAlignment="1" applyProtection="1">
      <alignment horizontal="center" vertical="center"/>
      <protection/>
    </xf>
    <xf numFmtId="190" fontId="4" fillId="38" borderId="10" xfId="0" applyNumberFormat="1" applyFont="1" applyFill="1" applyBorder="1" applyAlignment="1" applyProtection="1">
      <alignment horizontal="center" vertical="center"/>
      <protection/>
    </xf>
    <xf numFmtId="191" fontId="4" fillId="33" borderId="10" xfId="0" applyNumberFormat="1" applyFont="1" applyFill="1" applyBorder="1" applyAlignment="1" applyProtection="1">
      <alignment horizontal="center" vertical="center"/>
      <protection/>
    </xf>
    <xf numFmtId="191" fontId="4" fillId="38" borderId="10" xfId="0" applyNumberFormat="1" applyFont="1" applyFill="1" applyBorder="1" applyAlignment="1" applyProtection="1">
      <alignment horizontal="center" vertical="center"/>
      <protection/>
    </xf>
    <xf numFmtId="191" fontId="4" fillId="37" borderId="10" xfId="0" applyNumberFormat="1" applyFont="1" applyFill="1" applyBorder="1" applyAlignment="1" applyProtection="1">
      <alignment horizontal="center" vertical="center"/>
      <protection/>
    </xf>
    <xf numFmtId="191" fontId="4" fillId="39" borderId="10" xfId="0" applyNumberFormat="1" applyFont="1" applyFill="1" applyBorder="1" applyAlignment="1" applyProtection="1">
      <alignment horizontal="center" vertical="center"/>
      <protection/>
    </xf>
    <xf numFmtId="191" fontId="4" fillId="35" borderId="10" xfId="0" applyNumberFormat="1" applyFont="1" applyFill="1" applyBorder="1" applyAlignment="1" applyProtection="1">
      <alignment horizontal="center" vertical="center"/>
      <protection/>
    </xf>
    <xf numFmtId="191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6" fillId="40" borderId="10" xfId="0" applyFont="1" applyFill="1" applyBorder="1" applyAlignment="1" applyProtection="1">
      <alignment horizontal="center"/>
      <protection/>
    </xf>
    <xf numFmtId="0" fontId="6" fillId="40" borderId="10" xfId="0" applyFont="1" applyFill="1" applyBorder="1" applyAlignment="1">
      <alignment horizontal="center"/>
    </xf>
    <xf numFmtId="172" fontId="9" fillId="34" borderId="13" xfId="0" applyNumberFormat="1" applyFont="1" applyFill="1" applyBorder="1" applyAlignment="1" applyProtection="1">
      <alignment horizontal="center" vertical="center"/>
      <protection/>
    </xf>
    <xf numFmtId="0" fontId="0" fillId="43" borderId="0" xfId="0" applyFill="1" applyAlignment="1" applyProtection="1">
      <alignment/>
      <protection/>
    </xf>
    <xf numFmtId="0" fontId="14" fillId="34" borderId="13" xfId="0" applyFont="1" applyFill="1" applyBorder="1" applyAlignment="1" applyProtection="1">
      <alignment horizontal="center"/>
      <protection locked="0"/>
    </xf>
    <xf numFmtId="177" fontId="0" fillId="34" borderId="13" xfId="0" applyNumberFormat="1" applyFont="1" applyFill="1" applyBorder="1" applyAlignment="1" applyProtection="1">
      <alignment horizontal="center" vertical="center"/>
      <protection/>
    </xf>
    <xf numFmtId="177" fontId="19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45" borderId="0" xfId="0" applyFont="1" applyFill="1" applyAlignment="1">
      <alignment/>
    </xf>
    <xf numFmtId="0" fontId="0" fillId="45" borderId="0" xfId="0" applyFill="1" applyAlignment="1">
      <alignment horizontal="left"/>
    </xf>
    <xf numFmtId="0" fontId="0" fillId="45" borderId="21" xfId="0" applyFill="1" applyBorder="1" applyAlignment="1">
      <alignment/>
    </xf>
    <xf numFmtId="0" fontId="0" fillId="45" borderId="0" xfId="0" applyFill="1" applyAlignment="1">
      <alignment horizontal="center"/>
    </xf>
    <xf numFmtId="0" fontId="0" fillId="40" borderId="30" xfId="0" applyFill="1" applyBorder="1" applyAlignment="1" applyProtection="1">
      <alignment/>
      <protection/>
    </xf>
    <xf numFmtId="0" fontId="0" fillId="45" borderId="23" xfId="0" applyFill="1" applyBorder="1" applyAlignment="1" applyProtection="1">
      <alignment/>
      <protection/>
    </xf>
    <xf numFmtId="0" fontId="0" fillId="46" borderId="22" xfId="0" applyFill="1" applyBorder="1" applyAlignment="1" applyProtection="1">
      <alignment/>
      <protection/>
    </xf>
    <xf numFmtId="0" fontId="0" fillId="46" borderId="45" xfId="0" applyFill="1" applyBorder="1" applyAlignment="1" applyProtection="1">
      <alignment/>
      <protection/>
    </xf>
    <xf numFmtId="192" fontId="0" fillId="40" borderId="49" xfId="0" applyNumberFormat="1" applyFill="1" applyBorder="1" applyAlignment="1" applyProtection="1">
      <alignment horizontal="center"/>
      <protection locked="0"/>
    </xf>
    <xf numFmtId="169" fontId="0" fillId="46" borderId="46" xfId="0" applyNumberFormat="1" applyFill="1" applyBorder="1" applyAlignment="1" applyProtection="1">
      <alignment/>
      <protection locked="0"/>
    </xf>
    <xf numFmtId="0" fontId="0" fillId="43" borderId="25" xfId="0" applyFill="1" applyBorder="1" applyAlignment="1" applyProtection="1">
      <alignment/>
      <protection/>
    </xf>
    <xf numFmtId="168" fontId="4" fillId="33" borderId="25" xfId="0" applyNumberFormat="1" applyFont="1" applyFill="1" applyBorder="1" applyAlignment="1" applyProtection="1">
      <alignment horizontal="center"/>
      <protection/>
    </xf>
    <xf numFmtId="176" fontId="0" fillId="33" borderId="12" xfId="0" applyNumberFormat="1" applyFill="1" applyBorder="1" applyAlignment="1" applyProtection="1">
      <alignment/>
      <protection/>
    </xf>
    <xf numFmtId="168" fontId="4" fillId="34" borderId="25" xfId="0" applyNumberFormat="1" applyFont="1" applyFill="1" applyBorder="1" applyAlignment="1" applyProtection="1">
      <alignment horizontal="center"/>
      <protection/>
    </xf>
    <xf numFmtId="176" fontId="0" fillId="34" borderId="12" xfId="0" applyNumberFormat="1" applyFill="1" applyBorder="1" applyAlignment="1" applyProtection="1">
      <alignment/>
      <protection/>
    </xf>
    <xf numFmtId="168" fontId="4" fillId="35" borderId="25" xfId="0" applyNumberFormat="1" applyFont="1" applyFill="1" applyBorder="1" applyAlignment="1" applyProtection="1">
      <alignment horizontal="center"/>
      <protection/>
    </xf>
    <xf numFmtId="176" fontId="0" fillId="35" borderId="12" xfId="0" applyNumberFormat="1" applyFill="1" applyBorder="1" applyAlignment="1" applyProtection="1">
      <alignment/>
      <protection/>
    </xf>
    <xf numFmtId="168" fontId="4" fillId="39" borderId="25" xfId="0" applyNumberFormat="1" applyFont="1" applyFill="1" applyBorder="1" applyAlignment="1" applyProtection="1">
      <alignment horizontal="center"/>
      <protection/>
    </xf>
    <xf numFmtId="176" fontId="0" fillId="39" borderId="12" xfId="0" applyNumberFormat="1" applyFill="1" applyBorder="1" applyAlignment="1" applyProtection="1">
      <alignment/>
      <protection/>
    </xf>
    <xf numFmtId="168" fontId="4" fillId="37" borderId="25" xfId="0" applyNumberFormat="1" applyFont="1" applyFill="1" applyBorder="1" applyAlignment="1" applyProtection="1">
      <alignment horizontal="center"/>
      <protection/>
    </xf>
    <xf numFmtId="176" fontId="0" fillId="37" borderId="12" xfId="0" applyNumberFormat="1" applyFill="1" applyBorder="1" applyAlignment="1" applyProtection="1">
      <alignment/>
      <protection/>
    </xf>
    <xf numFmtId="168" fontId="4" fillId="38" borderId="25" xfId="0" applyNumberFormat="1" applyFont="1" applyFill="1" applyBorder="1" applyAlignment="1" applyProtection="1">
      <alignment horizontal="center"/>
      <protection/>
    </xf>
    <xf numFmtId="176" fontId="0" fillId="38" borderId="12" xfId="0" applyNumberFormat="1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11" fillId="40" borderId="26" xfId="0" applyFont="1" applyFill="1" applyBorder="1" applyAlignment="1" applyProtection="1">
      <alignment/>
      <protection/>
    </xf>
    <xf numFmtId="0" fontId="0" fillId="46" borderId="20" xfId="0" applyFill="1" applyBorder="1" applyAlignment="1" applyProtection="1">
      <alignment/>
      <protection/>
    </xf>
    <xf numFmtId="0" fontId="0" fillId="46" borderId="39" xfId="0" applyFill="1" applyBorder="1" applyAlignment="1" applyProtection="1">
      <alignment/>
      <protection/>
    </xf>
    <xf numFmtId="168" fontId="0" fillId="46" borderId="50" xfId="0" applyNumberFormat="1" applyFill="1" applyBorder="1" applyAlignment="1" applyProtection="1">
      <alignment horizontal="center"/>
      <protection locked="0"/>
    </xf>
    <xf numFmtId="0" fontId="0" fillId="43" borderId="36" xfId="0" applyFill="1" applyBorder="1" applyAlignment="1">
      <alignment/>
    </xf>
    <xf numFmtId="0" fontId="21" fillId="43" borderId="37" xfId="0" applyFont="1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0" xfId="0" applyFill="1" applyBorder="1" applyAlignment="1">
      <alignment/>
    </xf>
    <xf numFmtId="0" fontId="21" fillId="43" borderId="21" xfId="0" applyFont="1" applyFill="1" applyBorder="1" applyAlignment="1">
      <alignment/>
    </xf>
    <xf numFmtId="0" fontId="22" fillId="43" borderId="0" xfId="0" applyFont="1" applyFill="1" applyBorder="1" applyAlignment="1">
      <alignment/>
    </xf>
    <xf numFmtId="0" fontId="6" fillId="40" borderId="51" xfId="0" applyFont="1" applyFill="1" applyBorder="1" applyAlignment="1">
      <alignment/>
    </xf>
    <xf numFmtId="0" fontId="6" fillId="43" borderId="15" xfId="0" applyFont="1" applyFill="1" applyBorder="1" applyAlignment="1">
      <alignment/>
    </xf>
    <xf numFmtId="0" fontId="6" fillId="39" borderId="51" xfId="0" applyFont="1" applyFill="1" applyBorder="1" applyAlignment="1" applyProtection="1">
      <alignment horizontal="center"/>
      <protection locked="0"/>
    </xf>
    <xf numFmtId="0" fontId="6" fillId="40" borderId="16" xfId="0" applyFont="1" applyFill="1" applyBorder="1" applyAlignment="1">
      <alignment/>
    </xf>
    <xf numFmtId="0" fontId="6" fillId="43" borderId="0" xfId="0" applyFont="1" applyFill="1" applyBorder="1" applyAlignment="1">
      <alignment/>
    </xf>
    <xf numFmtId="0" fontId="6" fillId="39" borderId="16" xfId="0" applyFont="1" applyFill="1" applyBorder="1" applyAlignment="1" applyProtection="1">
      <alignment horizontal="center"/>
      <protection locked="0"/>
    </xf>
    <xf numFmtId="0" fontId="6" fillId="40" borderId="52" xfId="0" applyFont="1" applyFill="1" applyBorder="1" applyAlignment="1">
      <alignment/>
    </xf>
    <xf numFmtId="0" fontId="6" fillId="39" borderId="52" xfId="0" applyFont="1" applyFill="1" applyBorder="1" applyAlignment="1" applyProtection="1">
      <alignment horizontal="center"/>
      <protection locked="0"/>
    </xf>
    <xf numFmtId="0" fontId="6" fillId="43" borderId="0" xfId="0" applyFont="1" applyFill="1" applyBorder="1" applyAlignment="1">
      <alignment horizontal="center"/>
    </xf>
    <xf numFmtId="0" fontId="6" fillId="35" borderId="51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6" fillId="39" borderId="38" xfId="0" applyFont="1" applyFill="1" applyBorder="1" applyAlignment="1" applyProtection="1">
      <alignment horizontal="center"/>
      <protection locked="0"/>
    </xf>
    <xf numFmtId="0" fontId="6" fillId="47" borderId="51" xfId="0" applyFont="1" applyFill="1" applyBorder="1" applyAlignment="1">
      <alignment/>
    </xf>
    <xf numFmtId="0" fontId="6" fillId="47" borderId="16" xfId="0" applyFont="1" applyFill="1" applyBorder="1" applyAlignment="1">
      <alignment/>
    </xf>
    <xf numFmtId="0" fontId="6" fillId="39" borderId="16" xfId="0" applyFont="1" applyFill="1" applyBorder="1" applyAlignment="1" applyProtection="1">
      <alignment horizontal="center"/>
      <protection/>
    </xf>
    <xf numFmtId="0" fontId="6" fillId="47" borderId="52" xfId="0" applyFont="1" applyFill="1" applyBorder="1" applyAlignment="1">
      <alignment/>
    </xf>
    <xf numFmtId="9" fontId="6" fillId="43" borderId="0" xfId="0" applyNumberFormat="1" applyFont="1" applyFill="1" applyBorder="1" applyAlignment="1">
      <alignment horizontal="center"/>
    </xf>
    <xf numFmtId="0" fontId="6" fillId="43" borderId="51" xfId="0" applyFont="1" applyFill="1" applyBorder="1" applyAlignment="1">
      <alignment/>
    </xf>
    <xf numFmtId="9" fontId="6" fillId="39" borderId="51" xfId="0" applyNumberFormat="1" applyFont="1" applyFill="1" applyBorder="1" applyAlignment="1" applyProtection="1">
      <alignment horizontal="center"/>
      <protection locked="0"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9" fontId="2" fillId="43" borderId="23" xfId="0" applyNumberFormat="1" applyFont="1" applyFill="1" applyBorder="1" applyAlignment="1">
      <alignment/>
    </xf>
    <xf numFmtId="0" fontId="0" fillId="43" borderId="24" xfId="0" applyFill="1" applyBorder="1" applyAlignment="1">
      <alignment/>
    </xf>
    <xf numFmtId="9" fontId="2" fillId="45" borderId="0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9" fontId="2" fillId="34" borderId="18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45" borderId="0" xfId="0" applyFill="1" applyAlignment="1">
      <alignment horizontal="right"/>
    </xf>
    <xf numFmtId="0" fontId="6" fillId="40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40" borderId="13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6" fillId="35" borderId="13" xfId="0" applyNumberFormat="1" applyFont="1" applyFill="1" applyBorder="1" applyAlignment="1">
      <alignment horizontal="center"/>
    </xf>
    <xf numFmtId="0" fontId="6" fillId="47" borderId="13" xfId="0" applyFont="1" applyFill="1" applyBorder="1" applyAlignment="1">
      <alignment/>
    </xf>
    <xf numFmtId="3" fontId="6" fillId="47" borderId="13" xfId="0" applyNumberFormat="1" applyFont="1" applyFill="1" applyBorder="1" applyAlignment="1">
      <alignment horizontal="center"/>
    </xf>
    <xf numFmtId="0" fontId="6" fillId="34" borderId="27" xfId="0" applyFont="1" applyFill="1" applyBorder="1" applyAlignment="1" quotePrefix="1">
      <alignment/>
    </xf>
    <xf numFmtId="3" fontId="6" fillId="34" borderId="27" xfId="0" applyNumberFormat="1" applyFont="1" applyFill="1" applyBorder="1" applyAlignment="1">
      <alignment horizontal="center"/>
    </xf>
    <xf numFmtId="0" fontId="6" fillId="34" borderId="0" xfId="0" applyFont="1" applyFill="1" applyBorder="1" applyAlignment="1" quotePrefix="1">
      <alignment/>
    </xf>
    <xf numFmtId="0" fontId="6" fillId="43" borderId="13" xfId="0" applyFont="1" applyFill="1" applyBorder="1" applyAlignment="1" quotePrefix="1">
      <alignment/>
    </xf>
    <xf numFmtId="0" fontId="6" fillId="34" borderId="15" xfId="0" applyFont="1" applyFill="1" applyBorder="1" applyAlignment="1" quotePrefix="1">
      <alignment/>
    </xf>
    <xf numFmtId="3" fontId="6" fillId="43" borderId="13" xfId="0" applyNumberFormat="1" applyFont="1" applyFill="1" applyBorder="1" applyAlignment="1">
      <alignment horizontal="center"/>
    </xf>
    <xf numFmtId="3" fontId="0" fillId="45" borderId="0" xfId="0" applyNumberFormat="1" applyFill="1" applyAlignment="1">
      <alignment/>
    </xf>
    <xf numFmtId="3" fontId="0" fillId="34" borderId="0" xfId="0" applyNumberFormat="1" applyFill="1" applyBorder="1" applyAlignment="1">
      <alignment horizontal="right"/>
    </xf>
    <xf numFmtId="3" fontId="6" fillId="45" borderId="0" xfId="0" applyNumberFormat="1" applyFont="1" applyFill="1" applyBorder="1" applyAlignment="1">
      <alignment horizontal="right"/>
    </xf>
    <xf numFmtId="3" fontId="14" fillId="34" borderId="37" xfId="0" applyNumberFormat="1" applyFont="1" applyFill="1" applyBorder="1" applyAlignment="1">
      <alignment horizontal="right"/>
    </xf>
    <xf numFmtId="0" fontId="2" fillId="45" borderId="0" xfId="0" applyFont="1" applyFill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0" xfId="0" applyFill="1" applyBorder="1" applyAlignment="1">
      <alignment/>
    </xf>
    <xf numFmtId="188" fontId="0" fillId="45" borderId="0" xfId="0" applyNumberFormat="1" applyFill="1" applyAlignment="1" applyProtection="1">
      <alignment/>
      <protection/>
    </xf>
    <xf numFmtId="0" fontId="6" fillId="45" borderId="0" xfId="0" applyFont="1" applyFill="1" applyAlignment="1">
      <alignment horizontal="left"/>
    </xf>
    <xf numFmtId="170" fontId="6" fillId="45" borderId="13" xfId="0" applyNumberFormat="1" applyFont="1" applyFill="1" applyBorder="1" applyAlignment="1">
      <alignment horizontal="center"/>
    </xf>
    <xf numFmtId="168" fontId="0" fillId="33" borderId="10" xfId="0" applyNumberFormat="1" applyFill="1" applyBorder="1" applyAlignment="1" applyProtection="1">
      <alignment/>
      <protection locked="0"/>
    </xf>
    <xf numFmtId="168" fontId="0" fillId="34" borderId="10" xfId="0" applyNumberFormat="1" applyFill="1" applyBorder="1" applyAlignment="1" applyProtection="1">
      <alignment/>
      <protection locked="0"/>
    </xf>
    <xf numFmtId="168" fontId="0" fillId="35" borderId="10" xfId="0" applyNumberFormat="1" applyFill="1" applyBorder="1" applyAlignment="1" applyProtection="1">
      <alignment/>
      <protection locked="0"/>
    </xf>
    <xf numFmtId="168" fontId="0" fillId="36" borderId="10" xfId="0" applyNumberFormat="1" applyFill="1" applyBorder="1" applyAlignment="1" applyProtection="1">
      <alignment/>
      <protection locked="0"/>
    </xf>
    <xf numFmtId="168" fontId="0" fillId="37" borderId="10" xfId="0" applyNumberFormat="1" applyFill="1" applyBorder="1" applyAlignment="1" applyProtection="1">
      <alignment/>
      <protection locked="0"/>
    </xf>
    <xf numFmtId="168" fontId="0" fillId="38" borderId="10" xfId="0" applyNumberFormat="1" applyFill="1" applyBorder="1" applyAlignment="1" applyProtection="1">
      <alignment/>
      <protection locked="0"/>
    </xf>
    <xf numFmtId="193" fontId="14" fillId="34" borderId="37" xfId="0" applyNumberFormat="1" applyFont="1" applyFill="1" applyBorder="1" applyAlignment="1">
      <alignment/>
    </xf>
    <xf numFmtId="168" fontId="11" fillId="33" borderId="28" xfId="0" applyNumberFormat="1" applyFont="1" applyFill="1" applyBorder="1" applyAlignment="1" applyProtection="1">
      <alignment horizontal="center"/>
      <protection locked="0"/>
    </xf>
    <xf numFmtId="168" fontId="11" fillId="34" borderId="28" xfId="0" applyNumberFormat="1" applyFont="1" applyFill="1" applyBorder="1" applyAlignment="1" applyProtection="1">
      <alignment horizontal="center"/>
      <protection locked="0"/>
    </xf>
    <xf numFmtId="168" fontId="11" fillId="35" borderId="28" xfId="0" applyNumberFormat="1" applyFont="1" applyFill="1" applyBorder="1" applyAlignment="1" applyProtection="1">
      <alignment horizontal="center"/>
      <protection locked="0"/>
    </xf>
    <xf numFmtId="168" fontId="11" fillId="39" borderId="28" xfId="0" applyNumberFormat="1" applyFont="1" applyFill="1" applyBorder="1" applyAlignment="1" applyProtection="1">
      <alignment horizontal="center"/>
      <protection locked="0"/>
    </xf>
    <xf numFmtId="168" fontId="11" fillId="37" borderId="28" xfId="0" applyNumberFormat="1" applyFont="1" applyFill="1" applyBorder="1" applyAlignment="1" applyProtection="1">
      <alignment horizontal="center"/>
      <protection locked="0"/>
    </xf>
    <xf numFmtId="0" fontId="0" fillId="38" borderId="36" xfId="0" applyFill="1" applyBorder="1" applyAlignment="1">
      <alignment/>
    </xf>
    <xf numFmtId="0" fontId="0" fillId="38" borderId="53" xfId="0" applyFill="1" applyBorder="1" applyAlignment="1">
      <alignment/>
    </xf>
    <xf numFmtId="0" fontId="0" fillId="38" borderId="13" xfId="0" applyFill="1" applyBorder="1" applyAlignment="1" applyProtection="1">
      <alignment horizontal="left"/>
      <protection locked="0"/>
    </xf>
    <xf numFmtId="0" fontId="0" fillId="45" borderId="17" xfId="0" applyFill="1" applyBorder="1" applyAlignment="1">
      <alignment/>
    </xf>
    <xf numFmtId="180" fontId="0" fillId="45" borderId="18" xfId="0" applyNumberFormat="1" applyFill="1" applyBorder="1" applyAlignment="1">
      <alignment horizontal="center"/>
    </xf>
    <xf numFmtId="180" fontId="0" fillId="45" borderId="19" xfId="0" applyNumberFormat="1" applyFill="1" applyBorder="1" applyAlignment="1">
      <alignment horizontal="center"/>
    </xf>
    <xf numFmtId="0" fontId="11" fillId="38" borderId="30" xfId="0" applyFont="1" applyFill="1" applyBorder="1" applyAlignment="1" applyProtection="1">
      <alignment horizontal="right"/>
      <protection locked="0"/>
    </xf>
    <xf numFmtId="0" fontId="20" fillId="43" borderId="53" xfId="0" applyFont="1" applyFill="1" applyBorder="1" applyAlignment="1">
      <alignment/>
    </xf>
    <xf numFmtId="0" fontId="0" fillId="0" borderId="53" xfId="0" applyBorder="1" applyAlignment="1">
      <alignment/>
    </xf>
    <xf numFmtId="0" fontId="14" fillId="34" borderId="36" xfId="0" applyFont="1" applyFill="1" applyBorder="1" applyAlignment="1">
      <alignment horizontal="right"/>
    </xf>
    <xf numFmtId="0" fontId="14" fillId="34" borderId="53" xfId="0" applyFont="1" applyFill="1" applyBorder="1" applyAlignment="1">
      <alignment horizontal="right"/>
    </xf>
    <xf numFmtId="188" fontId="6" fillId="34" borderId="0" xfId="0" applyNumberFormat="1" applyFont="1" applyFill="1" applyBorder="1" applyAlignment="1" applyProtection="1">
      <alignment horizontal="center" vertical="center"/>
      <protection/>
    </xf>
    <xf numFmtId="188" fontId="6" fillId="34" borderId="23" xfId="0" applyNumberFormat="1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49" fontId="1" fillId="43" borderId="23" xfId="0" applyNumberFormat="1" applyFont="1" applyFill="1" applyBorder="1" applyAlignment="1" applyProtection="1">
      <alignment horizontal="center" vertical="top"/>
      <protection/>
    </xf>
    <xf numFmtId="0" fontId="4" fillId="40" borderId="36" xfId="0" applyFont="1" applyFill="1" applyBorder="1" applyAlignment="1" applyProtection="1">
      <alignment horizontal="center"/>
      <protection/>
    </xf>
    <xf numFmtId="0" fontId="4" fillId="40" borderId="53" xfId="0" applyFont="1" applyFill="1" applyBorder="1" applyAlignment="1" applyProtection="1">
      <alignment horizontal="center"/>
      <protection/>
    </xf>
    <xf numFmtId="0" fontId="4" fillId="40" borderId="37" xfId="0" applyFont="1" applyFill="1" applyBorder="1" applyAlignment="1" applyProtection="1">
      <alignment horizontal="center"/>
      <protection/>
    </xf>
    <xf numFmtId="0" fontId="4" fillId="38" borderId="10" xfId="0" applyFont="1" applyFill="1" applyBorder="1" applyAlignment="1" applyProtection="1">
      <alignment horizontal="center"/>
      <protection/>
    </xf>
    <xf numFmtId="0" fontId="4" fillId="39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49" fontId="1" fillId="43" borderId="0" xfId="0" applyNumberFormat="1" applyFont="1" applyFill="1" applyBorder="1" applyAlignment="1" applyProtection="1">
      <alignment horizontal="center" vertical="top"/>
      <protection/>
    </xf>
    <xf numFmtId="0" fontId="4" fillId="39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14" fillId="34" borderId="36" xfId="0" applyFont="1" applyFill="1" applyBorder="1" applyAlignment="1" applyProtection="1">
      <alignment horizontal="center"/>
      <protection/>
    </xf>
    <xf numFmtId="0" fontId="14" fillId="34" borderId="53" xfId="0" applyFont="1" applyFill="1" applyBorder="1" applyAlignment="1" applyProtection="1">
      <alignment horizontal="center"/>
      <protection/>
    </xf>
    <xf numFmtId="0" fontId="14" fillId="34" borderId="37" xfId="0" applyFont="1" applyFill="1" applyBorder="1" applyAlignment="1" applyProtection="1">
      <alignment horizontal="center"/>
      <protection/>
    </xf>
    <xf numFmtId="0" fontId="17" fillId="43" borderId="18" xfId="0" applyFont="1" applyFill="1" applyBorder="1" applyAlignment="1" applyProtection="1">
      <alignment horizontal="left" vertical="center" wrapText="1"/>
      <protection/>
    </xf>
    <xf numFmtId="0" fontId="17" fillId="43" borderId="0" xfId="0" applyFont="1" applyFill="1" applyBorder="1" applyAlignment="1" applyProtection="1">
      <alignment horizontal="left" vertical="center" wrapText="1"/>
      <protection/>
    </xf>
    <xf numFmtId="0" fontId="16" fillId="43" borderId="10" xfId="0" applyFont="1" applyFill="1" applyBorder="1" applyAlignment="1" applyProtection="1">
      <alignment horizontal="left" wrapText="1"/>
      <protection/>
    </xf>
    <xf numFmtId="0" fontId="18" fillId="43" borderId="18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14" fillId="40" borderId="36" xfId="0" applyFont="1" applyFill="1" applyBorder="1" applyAlignment="1" applyProtection="1">
      <alignment horizontal="center"/>
      <protection/>
    </xf>
    <xf numFmtId="0" fontId="14" fillId="40" borderId="53" xfId="0" applyFont="1" applyFill="1" applyBorder="1" applyAlignment="1" applyProtection="1">
      <alignment horizontal="center"/>
      <protection/>
    </xf>
    <xf numFmtId="0" fontId="14" fillId="40" borderId="37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87" fontId="1" fillId="43" borderId="0" xfId="0" applyNumberFormat="1" applyFont="1" applyFill="1" applyBorder="1" applyAlignment="1" applyProtection="1">
      <alignment horizontal="center" vertical="top"/>
      <protection/>
    </xf>
    <xf numFmtId="168" fontId="4" fillId="39" borderId="25" xfId="0" applyNumberFormat="1" applyFont="1" applyFill="1" applyBorder="1" applyAlignment="1" applyProtection="1">
      <alignment horizontal="center"/>
      <protection/>
    </xf>
    <xf numFmtId="168" fontId="4" fillId="37" borderId="25" xfId="0" applyNumberFormat="1" applyFont="1" applyFill="1" applyBorder="1" applyAlignment="1" applyProtection="1">
      <alignment horizontal="center"/>
      <protection/>
    </xf>
    <xf numFmtId="0" fontId="18" fillId="45" borderId="0" xfId="0" applyFont="1" applyFill="1" applyAlignment="1" applyProtection="1">
      <alignment horizontal="left" vertical="center"/>
      <protection/>
    </xf>
    <xf numFmtId="0" fontId="15" fillId="34" borderId="0" xfId="0" applyFont="1" applyFill="1" applyAlignment="1" applyProtection="1">
      <alignment horizontal="center" vertical="center"/>
      <protection/>
    </xf>
    <xf numFmtId="168" fontId="4" fillId="33" borderId="25" xfId="0" applyNumberFormat="1" applyFont="1" applyFill="1" applyBorder="1" applyAlignment="1" applyProtection="1">
      <alignment horizontal="center"/>
      <protection/>
    </xf>
    <xf numFmtId="0" fontId="9" fillId="42" borderId="0" xfId="0" applyFont="1" applyFill="1" applyBorder="1" applyAlignment="1" applyProtection="1">
      <alignment horizontal="center"/>
      <protection/>
    </xf>
    <xf numFmtId="0" fontId="9" fillId="42" borderId="0" xfId="0" applyFont="1" applyFill="1" applyBorder="1" applyAlignment="1" applyProtection="1">
      <alignment horizontal="center" vertical="center" wrapText="1"/>
      <protection/>
    </xf>
    <xf numFmtId="0" fontId="11" fillId="40" borderId="17" xfId="0" applyFont="1" applyFill="1" applyBorder="1" applyAlignment="1" applyProtection="1">
      <alignment horizontal="center"/>
      <protection/>
    </xf>
    <xf numFmtId="0" fontId="11" fillId="40" borderId="18" xfId="0" applyFont="1" applyFill="1" applyBorder="1" applyAlignment="1" applyProtection="1">
      <alignment horizontal="center"/>
      <protection/>
    </xf>
    <xf numFmtId="0" fontId="11" fillId="40" borderId="19" xfId="0" applyFont="1" applyFill="1" applyBorder="1" applyAlignment="1" applyProtection="1">
      <alignment horizontal="center"/>
      <protection/>
    </xf>
    <xf numFmtId="0" fontId="11" fillId="40" borderId="54" xfId="0" applyFont="1" applyFill="1" applyBorder="1" applyAlignment="1" applyProtection="1">
      <alignment horizontal="center"/>
      <protection/>
    </xf>
    <xf numFmtId="0" fontId="11" fillId="40" borderId="55" xfId="0" applyFont="1" applyFill="1" applyBorder="1" applyAlignment="1" applyProtection="1">
      <alignment horizontal="center"/>
      <protection/>
    </xf>
    <xf numFmtId="0" fontId="11" fillId="40" borderId="56" xfId="0" applyFont="1" applyFill="1" applyBorder="1" applyAlignment="1" applyProtection="1">
      <alignment horizontal="center"/>
      <protection/>
    </xf>
    <xf numFmtId="0" fontId="11" fillId="40" borderId="57" xfId="0" applyFont="1" applyFill="1" applyBorder="1" applyAlignment="1" applyProtection="1">
      <alignment horizontal="center" vertical="center"/>
      <protection/>
    </xf>
    <xf numFmtId="0" fontId="11" fillId="40" borderId="29" xfId="0" applyFont="1" applyFill="1" applyBorder="1" applyAlignment="1" applyProtection="1">
      <alignment horizontal="center" vertical="center"/>
      <protection/>
    </xf>
    <xf numFmtId="168" fontId="4" fillId="38" borderId="25" xfId="0" applyNumberFormat="1" applyFont="1" applyFill="1" applyBorder="1" applyAlignment="1" applyProtection="1">
      <alignment horizontal="center"/>
      <protection/>
    </xf>
    <xf numFmtId="168" fontId="4" fillId="34" borderId="25" xfId="0" applyNumberFormat="1" applyFont="1" applyFill="1" applyBorder="1" applyAlignment="1" applyProtection="1">
      <alignment horizontal="center"/>
      <protection/>
    </xf>
    <xf numFmtId="168" fontId="4" fillId="35" borderId="25" xfId="0" applyNumberFormat="1" applyFont="1" applyFill="1" applyBorder="1" applyAlignment="1" applyProtection="1">
      <alignment horizontal="center"/>
      <protection/>
    </xf>
    <xf numFmtId="0" fontId="0" fillId="42" borderId="0" xfId="0" applyFill="1" applyAlignment="1">
      <alignment horizontal="center" wrapText="1"/>
    </xf>
    <xf numFmtId="168" fontId="4" fillId="42" borderId="14" xfId="0" applyNumberFormat="1" applyFont="1" applyFill="1" applyBorder="1" applyAlignment="1" applyProtection="1">
      <alignment horizontal="center" vertical="center"/>
      <protection locked="0"/>
    </xf>
    <xf numFmtId="0" fontId="4" fillId="42" borderId="38" xfId="0" applyFont="1" applyFill="1" applyBorder="1" applyAlignment="1" applyProtection="1">
      <alignment horizontal="center" vertical="center"/>
      <protection locked="0"/>
    </xf>
    <xf numFmtId="0" fontId="18" fillId="45" borderId="0" xfId="0" applyFont="1" applyFill="1" applyAlignment="1">
      <alignment horizontal="left" vertical="center"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Rentabilitätsrechner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3175"/>
          <c:w val="0.9835"/>
          <c:h val="0.84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Grunddaten!$B$55:$V$55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Grunddaten!$B$56:$V$56</c:f>
              <c:numCache>
                <c:ptCount val="21"/>
                <c:pt idx="0">
                  <c:v>-6300</c:v>
                </c:pt>
                <c:pt idx="1">
                  <c:v>-4891.642857142857</c:v>
                </c:pt>
                <c:pt idx="2">
                  <c:v>-3483.2857142857147</c:v>
                </c:pt>
                <c:pt idx="3">
                  <c:v>-2074.9285714285725</c:v>
                </c:pt>
                <c:pt idx="4">
                  <c:v>-666.5714285714294</c:v>
                </c:pt>
                <c:pt idx="5">
                  <c:v>741.7857142857138</c:v>
                </c:pt>
                <c:pt idx="6">
                  <c:v>2150.142857142855</c:v>
                </c:pt>
                <c:pt idx="7">
                  <c:v>3558.499999999998</c:v>
                </c:pt>
                <c:pt idx="8">
                  <c:v>4966.857142857141</c:v>
                </c:pt>
                <c:pt idx="9">
                  <c:v>6375.214285714284</c:v>
                </c:pt>
                <c:pt idx="10">
                  <c:v>7783.5714285714275</c:v>
                </c:pt>
                <c:pt idx="11">
                  <c:v>9191.928571428569</c:v>
                </c:pt>
                <c:pt idx="12">
                  <c:v>10600.28571428571</c:v>
                </c:pt>
                <c:pt idx="13">
                  <c:v>12008.642857142855</c:v>
                </c:pt>
                <c:pt idx="14">
                  <c:v>13416.999999999996</c:v>
                </c:pt>
                <c:pt idx="15">
                  <c:v>14825.357142857141</c:v>
                </c:pt>
                <c:pt idx="16">
                  <c:v>16233.714285714283</c:v>
                </c:pt>
                <c:pt idx="17">
                  <c:v>17642.071428571424</c:v>
                </c:pt>
                <c:pt idx="18">
                  <c:v>19050.42857142857</c:v>
                </c:pt>
                <c:pt idx="19">
                  <c:v>20458.78571428571</c:v>
                </c:pt>
                <c:pt idx="20">
                  <c:v>21867.142857142855</c:v>
                </c:pt>
              </c:numCache>
            </c:numRef>
          </c:val>
          <c:shape val="box"/>
        </c:ser>
        <c:shape val="box"/>
        <c:axId val="44966137"/>
        <c:axId val="2042050"/>
      </c:bar3DChart>
      <c:catAx>
        <c:axId val="44966137"/>
        <c:scaling>
          <c:orientation val="minMax"/>
        </c:scaling>
        <c:axPos val="b"/>
        <c:delete val="0"/>
        <c:numFmt formatCode="0\ &quot;J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€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6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Rentabilitätsrechner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3175"/>
          <c:w val="0.9835"/>
          <c:h val="0.84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Grunddaten!$B$67:$V$67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Grunddaten!$B$68:$V$68</c:f>
              <c:numCache>
                <c:ptCount val="21"/>
                <c:pt idx="0">
                  <c:v>-8300</c:v>
                </c:pt>
                <c:pt idx="1">
                  <c:v>-6429.944444444445</c:v>
                </c:pt>
                <c:pt idx="2">
                  <c:v>-4559.88888888889</c:v>
                </c:pt>
                <c:pt idx="3">
                  <c:v>-2689.833333333334</c:v>
                </c:pt>
                <c:pt idx="4">
                  <c:v>-819.7777777777792</c:v>
                </c:pt>
                <c:pt idx="5">
                  <c:v>1050.2777777777756</c:v>
                </c:pt>
                <c:pt idx="6">
                  <c:v>2920.333333333332</c:v>
                </c:pt>
                <c:pt idx="7">
                  <c:v>4790.388888888887</c:v>
                </c:pt>
                <c:pt idx="8">
                  <c:v>6660.444444444442</c:v>
                </c:pt>
                <c:pt idx="9">
                  <c:v>8530.499999999996</c:v>
                </c:pt>
                <c:pt idx="10">
                  <c:v>10400.555555555551</c:v>
                </c:pt>
                <c:pt idx="11">
                  <c:v>12270.611111111106</c:v>
                </c:pt>
                <c:pt idx="12">
                  <c:v>14140.666666666664</c:v>
                </c:pt>
                <c:pt idx="13">
                  <c:v>16010.722222222219</c:v>
                </c:pt>
                <c:pt idx="14">
                  <c:v>17880.777777777774</c:v>
                </c:pt>
                <c:pt idx="15">
                  <c:v>19750.83333333333</c:v>
                </c:pt>
                <c:pt idx="16">
                  <c:v>21620.888888888883</c:v>
                </c:pt>
                <c:pt idx="17">
                  <c:v>23490.944444444438</c:v>
                </c:pt>
                <c:pt idx="18">
                  <c:v>25360.999999999993</c:v>
                </c:pt>
                <c:pt idx="19">
                  <c:v>27231.055555555547</c:v>
                </c:pt>
                <c:pt idx="20">
                  <c:v>29101.111111111102</c:v>
                </c:pt>
              </c:numCache>
            </c:numRef>
          </c:val>
          <c:shape val="box"/>
        </c:ser>
        <c:shape val="box"/>
        <c:axId val="18378451"/>
        <c:axId val="31188332"/>
      </c:bar3DChart>
      <c:catAx>
        <c:axId val="18378451"/>
        <c:scaling>
          <c:orientation val="minMax"/>
        </c:scaling>
        <c:axPos val="b"/>
        <c:delete val="0"/>
        <c:numFmt formatCode="0\ &quot;J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€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8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Rentabilitätsrechner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3175"/>
          <c:w val="0.9835"/>
          <c:h val="0.84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Grunddaten!$B$91:$V$91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Grunddaten!$B$92:$V$92</c:f>
              <c:numCache>
                <c:ptCount val="21"/>
                <c:pt idx="0">
                  <c:v>-9400</c:v>
                </c:pt>
                <c:pt idx="1">
                  <c:v>-8741.142857142857</c:v>
                </c:pt>
                <c:pt idx="2">
                  <c:v>-8082.285714285715</c:v>
                </c:pt>
                <c:pt idx="3">
                  <c:v>-7423.4285714285725</c:v>
                </c:pt>
                <c:pt idx="4">
                  <c:v>-6764.571428571429</c:v>
                </c:pt>
                <c:pt idx="5">
                  <c:v>-6105.714285714286</c:v>
                </c:pt>
                <c:pt idx="6">
                  <c:v>-5446.857142857144</c:v>
                </c:pt>
                <c:pt idx="7">
                  <c:v>-4788.000000000002</c:v>
                </c:pt>
                <c:pt idx="8">
                  <c:v>-4129.142857142859</c:v>
                </c:pt>
                <c:pt idx="9">
                  <c:v>-3470.2857142857156</c:v>
                </c:pt>
                <c:pt idx="10">
                  <c:v>-2811.4285714285734</c:v>
                </c:pt>
                <c:pt idx="11">
                  <c:v>-2152.571428571431</c:v>
                </c:pt>
                <c:pt idx="12">
                  <c:v>-1493.714285714288</c:v>
                </c:pt>
                <c:pt idx="13">
                  <c:v>-834.8571428571449</c:v>
                </c:pt>
                <c:pt idx="14">
                  <c:v>-176.00000000000364</c:v>
                </c:pt>
                <c:pt idx="15">
                  <c:v>482.8571428571395</c:v>
                </c:pt>
                <c:pt idx="16">
                  <c:v>1141.7142857142826</c:v>
                </c:pt>
                <c:pt idx="17">
                  <c:v>1800.5714285714257</c:v>
                </c:pt>
                <c:pt idx="18">
                  <c:v>2459.428571428569</c:v>
                </c:pt>
                <c:pt idx="19">
                  <c:v>3118.28571428571</c:v>
                </c:pt>
                <c:pt idx="20">
                  <c:v>3777.1428571428532</c:v>
                </c:pt>
              </c:numCache>
            </c:numRef>
          </c:val>
          <c:shape val="box"/>
        </c:ser>
        <c:shape val="box"/>
        <c:axId val="12259533"/>
        <c:axId val="43226934"/>
      </c:bar3DChart>
      <c:catAx>
        <c:axId val="12259533"/>
        <c:scaling>
          <c:orientation val="minMax"/>
        </c:scaling>
        <c:axPos val="b"/>
        <c:delete val="0"/>
        <c:numFmt formatCode="0\ &quot;J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€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9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Rentabilitätsrechner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3175"/>
          <c:w val="0.9835"/>
          <c:h val="0.84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Grunddaten!$B$79:$V$79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Grunddaten!$B$80:$V$80</c:f>
              <c:numCache>
                <c:ptCount val="21"/>
                <c:pt idx="0">
                  <c:v>-10900</c:v>
                </c:pt>
                <c:pt idx="1">
                  <c:v>-9779.444444444445</c:v>
                </c:pt>
                <c:pt idx="2">
                  <c:v>-8658.88888888889</c:v>
                </c:pt>
                <c:pt idx="3">
                  <c:v>-7538.333333333334</c:v>
                </c:pt>
                <c:pt idx="4">
                  <c:v>-6417.777777777779</c:v>
                </c:pt>
                <c:pt idx="5">
                  <c:v>-5297.222222222224</c:v>
                </c:pt>
                <c:pt idx="6">
                  <c:v>-4176.666666666669</c:v>
                </c:pt>
                <c:pt idx="7">
                  <c:v>-3056.111111111113</c:v>
                </c:pt>
                <c:pt idx="8">
                  <c:v>-1935.5555555555584</c:v>
                </c:pt>
                <c:pt idx="9">
                  <c:v>-815.0000000000036</c:v>
                </c:pt>
                <c:pt idx="10">
                  <c:v>305.5555555555511</c:v>
                </c:pt>
                <c:pt idx="11">
                  <c:v>1426.1111111111077</c:v>
                </c:pt>
                <c:pt idx="12">
                  <c:v>2546.6666666666624</c:v>
                </c:pt>
                <c:pt idx="13">
                  <c:v>3667.222222222217</c:v>
                </c:pt>
                <c:pt idx="14">
                  <c:v>4787.777777777774</c:v>
                </c:pt>
                <c:pt idx="15">
                  <c:v>5908.3333333333285</c:v>
                </c:pt>
                <c:pt idx="16">
                  <c:v>7028.888888888883</c:v>
                </c:pt>
                <c:pt idx="17">
                  <c:v>8149.444444444438</c:v>
                </c:pt>
                <c:pt idx="18">
                  <c:v>9269.999999999993</c:v>
                </c:pt>
                <c:pt idx="19">
                  <c:v>10390.555555555547</c:v>
                </c:pt>
                <c:pt idx="20">
                  <c:v>11511.111111111102</c:v>
                </c:pt>
              </c:numCache>
            </c:numRef>
          </c:val>
          <c:shape val="box"/>
        </c:ser>
        <c:shape val="box"/>
        <c:axId val="53498087"/>
        <c:axId val="11720736"/>
      </c:bar3DChart>
      <c:catAx>
        <c:axId val="53498087"/>
        <c:scaling>
          <c:orientation val="minMax"/>
        </c:scaling>
        <c:axPos val="b"/>
        <c:delete val="0"/>
        <c:numFmt formatCode="0\ &quot;J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20736"/>
        <c:crosses val="autoZero"/>
        <c:auto val="1"/>
        <c:lblOffset val="100"/>
        <c:tickLblSkip val="1"/>
        <c:noMultiLvlLbl val="0"/>
      </c:catAx>
      <c:valAx>
        <c:axId val="11720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€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0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Ausstoß pro Jahr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5625"/>
          <c:w val="0.9595"/>
          <c:h val="0.8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Grunddaten!$B$99</c:f>
              <c:strCache>
                <c:ptCount val="1"/>
                <c:pt idx="0">
                  <c:v>Co2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Grunddaten!$A$100:$A$105</c:f>
              <c:strCache>
                <c:ptCount val="6"/>
                <c:pt idx="0">
                  <c:v>Hackgut:</c:v>
                </c:pt>
                <c:pt idx="1">
                  <c:v>Pellets:</c:v>
                </c:pt>
                <c:pt idx="2">
                  <c:v>Scheitholz</c:v>
                </c:pt>
                <c:pt idx="3">
                  <c:v>Erdgas:</c:v>
                </c:pt>
                <c:pt idx="4">
                  <c:v>Heizöl:</c:v>
                </c:pt>
                <c:pt idx="5">
                  <c:v>Erdwärme:</c:v>
                </c:pt>
              </c:strCache>
            </c:strRef>
          </c:cat>
          <c:val>
            <c:numRef>
              <c:f>Grunddaten!$B$100:$B$105</c:f>
              <c:numCache>
                <c:ptCount val="6"/>
                <c:pt idx="0">
                  <c:v>0.8909090909090907</c:v>
                </c:pt>
                <c:pt idx="1">
                  <c:v>1.018181818181818</c:v>
                </c:pt>
                <c:pt idx="2">
                  <c:v>0.8909090909090907</c:v>
                </c:pt>
                <c:pt idx="3">
                  <c:v>6.032727272727271</c:v>
                </c:pt>
                <c:pt idx="4">
                  <c:v>8.45090909090909</c:v>
                </c:pt>
                <c:pt idx="5">
                  <c:v>5.09090909090909</c:v>
                </c:pt>
              </c:numCache>
            </c:numRef>
          </c:val>
          <c:shape val="box"/>
        </c:ser>
        <c:shape val="box"/>
        <c:axId val="38377761"/>
        <c:axId val="9855530"/>
      </c:bar3D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Staub Ausstoß pro Jahr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5325"/>
          <c:w val="0.96475"/>
          <c:h val="0.8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Grunddaten!$B$107</c:f>
              <c:strCache>
                <c:ptCount val="1"/>
                <c:pt idx="0">
                  <c:v>Feinstaub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Grunddaten!$A$108:$A$114</c:f>
              <c:strCache>
                <c:ptCount val="7"/>
                <c:pt idx="0">
                  <c:v>Hackgut:</c:v>
                </c:pt>
                <c:pt idx="1">
                  <c:v>Pellets:</c:v>
                </c:pt>
                <c:pt idx="2">
                  <c:v>Scheitholz</c:v>
                </c:pt>
                <c:pt idx="3">
                  <c:v>Holzvergaser</c:v>
                </c:pt>
                <c:pt idx="4">
                  <c:v>Erdgas:</c:v>
                </c:pt>
                <c:pt idx="5">
                  <c:v>Heizöl:</c:v>
                </c:pt>
                <c:pt idx="6">
                  <c:v>Erdwärme:</c:v>
                </c:pt>
              </c:strCache>
            </c:strRef>
          </c:cat>
          <c:val>
            <c:numRef>
              <c:f>Grunddaten!$B$108:$B$114</c:f>
              <c:numCache>
                <c:ptCount val="7"/>
                <c:pt idx="0">
                  <c:v>1.374545454545454</c:v>
                </c:pt>
                <c:pt idx="1">
                  <c:v>0.9163636363636362</c:v>
                </c:pt>
                <c:pt idx="2">
                  <c:v>8.247272727272726</c:v>
                </c:pt>
                <c:pt idx="3">
                  <c:v>1.527272727272727</c:v>
                </c:pt>
                <c:pt idx="4">
                  <c:v>0.2545454545454545</c:v>
                </c:pt>
                <c:pt idx="5">
                  <c:v>0.3818181818181817</c:v>
                </c:pt>
                <c:pt idx="6">
                  <c:v>0.30545454545454537</c:v>
                </c:pt>
              </c:numCache>
            </c:numRef>
          </c:val>
          <c:shape val="box"/>
        </c:ser>
        <c:shape val="box"/>
        <c:axId val="21590907"/>
        <c:axId val="60100436"/>
      </c:bar3D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47625</xdr:rowOff>
    </xdr:from>
    <xdr:to>
      <xdr:col>19</xdr:col>
      <xdr:colOff>9525</xdr:colOff>
      <xdr:row>5</xdr:row>
      <xdr:rowOff>0</xdr:rowOff>
    </xdr:to>
    <xdr:pic>
      <xdr:nvPicPr>
        <xdr:cNvPr id="1" name="Picture 2" descr="Logo_Hargasser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7625"/>
          <a:ext cx="4295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1076325</xdr:colOff>
      <xdr:row>1</xdr:row>
      <xdr:rowOff>9525</xdr:rowOff>
    </xdr:from>
    <xdr:to>
      <xdr:col>19</xdr:col>
      <xdr:colOff>9525</xdr:colOff>
      <xdr:row>4</xdr:row>
      <xdr:rowOff>95250</xdr:rowOff>
    </xdr:to>
    <xdr:pic>
      <xdr:nvPicPr>
        <xdr:cNvPr id="1" name="Picture 11" descr="Logo_Hargasser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71450"/>
          <a:ext cx="4295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66675</xdr:rowOff>
    </xdr:from>
    <xdr:to>
      <xdr:col>11</xdr:col>
      <xdr:colOff>561975</xdr:colOff>
      <xdr:row>44</xdr:row>
      <xdr:rowOff>133350</xdr:rowOff>
    </xdr:to>
    <xdr:graphicFrame>
      <xdr:nvGraphicFramePr>
        <xdr:cNvPr id="1" name="Diagramm 2"/>
        <xdr:cNvGraphicFramePr/>
      </xdr:nvGraphicFramePr>
      <xdr:xfrm>
        <a:off x="95250" y="2524125"/>
        <a:ext cx="115728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2028825</xdr:colOff>
      <xdr:row>0</xdr:row>
      <xdr:rowOff>57150</xdr:rowOff>
    </xdr:from>
    <xdr:to>
      <xdr:col>11</xdr:col>
      <xdr:colOff>209550</xdr:colOff>
      <xdr:row>9</xdr:row>
      <xdr:rowOff>28575</xdr:rowOff>
    </xdr:to>
    <xdr:pic>
      <xdr:nvPicPr>
        <xdr:cNvPr id="2" name="Picture 4" descr="Logo_Hargasser_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57150"/>
          <a:ext cx="4295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95250</xdr:rowOff>
    </xdr:from>
    <xdr:to>
      <xdr:col>11</xdr:col>
      <xdr:colOff>514350</xdr:colOff>
      <xdr:row>45</xdr:row>
      <xdr:rowOff>0</xdr:rowOff>
    </xdr:to>
    <xdr:graphicFrame>
      <xdr:nvGraphicFramePr>
        <xdr:cNvPr id="1" name="Diagramm 1"/>
        <xdr:cNvGraphicFramePr/>
      </xdr:nvGraphicFramePr>
      <xdr:xfrm>
        <a:off x="38100" y="2552700"/>
        <a:ext cx="115728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2028825</xdr:colOff>
      <xdr:row>0</xdr:row>
      <xdr:rowOff>57150</xdr:rowOff>
    </xdr:from>
    <xdr:to>
      <xdr:col>11</xdr:col>
      <xdr:colOff>209550</xdr:colOff>
      <xdr:row>9</xdr:row>
      <xdr:rowOff>28575</xdr:rowOff>
    </xdr:to>
    <xdr:pic>
      <xdr:nvPicPr>
        <xdr:cNvPr id="2" name="Picture 2" descr="Logo_Hargasser_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57150"/>
          <a:ext cx="4295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95250</xdr:rowOff>
    </xdr:from>
    <xdr:to>
      <xdr:col>11</xdr:col>
      <xdr:colOff>495300</xdr:colOff>
      <xdr:row>45</xdr:row>
      <xdr:rowOff>0</xdr:rowOff>
    </xdr:to>
    <xdr:graphicFrame>
      <xdr:nvGraphicFramePr>
        <xdr:cNvPr id="1" name="Diagramm 1"/>
        <xdr:cNvGraphicFramePr/>
      </xdr:nvGraphicFramePr>
      <xdr:xfrm>
        <a:off x="28575" y="2552700"/>
        <a:ext cx="115728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2028825</xdr:colOff>
      <xdr:row>0</xdr:row>
      <xdr:rowOff>57150</xdr:rowOff>
    </xdr:from>
    <xdr:to>
      <xdr:col>11</xdr:col>
      <xdr:colOff>209550</xdr:colOff>
      <xdr:row>9</xdr:row>
      <xdr:rowOff>28575</xdr:rowOff>
    </xdr:to>
    <xdr:pic>
      <xdr:nvPicPr>
        <xdr:cNvPr id="2" name="Picture 2" descr="Logo_Hargasser_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57150"/>
          <a:ext cx="4295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85725</xdr:rowOff>
    </xdr:from>
    <xdr:to>
      <xdr:col>11</xdr:col>
      <xdr:colOff>514350</xdr:colOff>
      <xdr:row>44</xdr:row>
      <xdr:rowOff>152400</xdr:rowOff>
    </xdr:to>
    <xdr:graphicFrame>
      <xdr:nvGraphicFramePr>
        <xdr:cNvPr id="1" name="Diagramm 1"/>
        <xdr:cNvGraphicFramePr/>
      </xdr:nvGraphicFramePr>
      <xdr:xfrm>
        <a:off x="38100" y="2543175"/>
        <a:ext cx="115728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2028825</xdr:colOff>
      <xdr:row>0</xdr:row>
      <xdr:rowOff>57150</xdr:rowOff>
    </xdr:from>
    <xdr:to>
      <xdr:col>11</xdr:col>
      <xdr:colOff>209550</xdr:colOff>
      <xdr:row>9</xdr:row>
      <xdr:rowOff>28575</xdr:rowOff>
    </xdr:to>
    <xdr:pic>
      <xdr:nvPicPr>
        <xdr:cNvPr id="2" name="Picture 2" descr="Logo_Hargasser_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57150"/>
          <a:ext cx="4295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1</xdr:row>
      <xdr:rowOff>142875</xdr:rowOff>
    </xdr:from>
    <xdr:to>
      <xdr:col>19</xdr:col>
      <xdr:colOff>9525</xdr:colOff>
      <xdr:row>8</xdr:row>
      <xdr:rowOff>209550</xdr:rowOff>
    </xdr:to>
    <xdr:pic>
      <xdr:nvPicPr>
        <xdr:cNvPr id="1" name="Picture 1" descr="Logo_Hargasser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04800"/>
          <a:ext cx="4295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142875</xdr:rowOff>
    </xdr:from>
    <xdr:to>
      <xdr:col>8</xdr:col>
      <xdr:colOff>657225</xdr:colOff>
      <xdr:row>36</xdr:row>
      <xdr:rowOff>228600</xdr:rowOff>
    </xdr:to>
    <xdr:graphicFrame>
      <xdr:nvGraphicFramePr>
        <xdr:cNvPr id="2" name="Diagramm 3"/>
        <xdr:cNvGraphicFramePr/>
      </xdr:nvGraphicFramePr>
      <xdr:xfrm>
        <a:off x="161925" y="3838575"/>
        <a:ext cx="48006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685800</xdr:colOff>
      <xdr:row>22</xdr:row>
      <xdr:rowOff>142875</xdr:rowOff>
    </xdr:from>
    <xdr:to>
      <xdr:col>19</xdr:col>
      <xdr:colOff>104775</xdr:colOff>
      <xdr:row>36</xdr:row>
      <xdr:rowOff>219075</xdr:rowOff>
    </xdr:to>
    <xdr:graphicFrame>
      <xdr:nvGraphicFramePr>
        <xdr:cNvPr id="3" name="Diagramm 4"/>
        <xdr:cNvGraphicFramePr/>
      </xdr:nvGraphicFramePr>
      <xdr:xfrm>
        <a:off x="4991100" y="3838575"/>
        <a:ext cx="54959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9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1" max="1" width="2.57421875" style="0" customWidth="1"/>
    <col min="2" max="2" width="5.140625" style="0" customWidth="1"/>
    <col min="3" max="3" width="47.00390625" style="0" customWidth="1"/>
    <col min="4" max="4" width="7.7109375" style="350" customWidth="1"/>
    <col min="5" max="5" width="20.7109375" style="0" customWidth="1"/>
    <col min="6" max="6" width="5.57421875" style="0" customWidth="1"/>
    <col min="7" max="7" width="2.7109375" style="0" customWidth="1"/>
    <col min="8" max="8" width="20.7109375" style="0" customWidth="1"/>
    <col min="9" max="9" width="28.28125" style="0" customWidth="1"/>
    <col min="22" max="38" width="11.421875" style="213" customWidth="1"/>
  </cols>
  <sheetData>
    <row r="1" spans="1:21" ht="14.25" customHeight="1" thickBot="1">
      <c r="A1" s="213"/>
      <c r="B1" s="213"/>
      <c r="C1" s="213"/>
      <c r="D1" s="215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1" ht="30.75" thickBot="1">
      <c r="A2" s="213"/>
      <c r="B2" s="285"/>
      <c r="C2" s="373" t="s">
        <v>129</v>
      </c>
      <c r="D2" s="374"/>
      <c r="E2" s="374"/>
      <c r="F2" s="286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ht="4.5" customHeight="1">
      <c r="A3" s="213"/>
      <c r="B3" s="287"/>
      <c r="C3" s="288"/>
      <c r="D3" s="288"/>
      <c r="E3" s="288"/>
      <c r="F3" s="289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1" ht="21.75" customHeight="1">
      <c r="A4" s="213"/>
      <c r="B4" s="287"/>
      <c r="C4" s="290" t="s">
        <v>130</v>
      </c>
      <c r="D4" s="288"/>
      <c r="E4" s="288"/>
      <c r="F4" s="289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4.5" customHeight="1" thickBot="1">
      <c r="A5" s="213"/>
      <c r="B5" s="287"/>
      <c r="C5" s="288"/>
      <c r="D5" s="288"/>
      <c r="E5" s="288"/>
      <c r="F5" s="289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</row>
    <row r="6" spans="1:21" ht="15.75">
      <c r="A6" s="213"/>
      <c r="B6" s="287"/>
      <c r="C6" s="291" t="s">
        <v>131</v>
      </c>
      <c r="D6" s="292"/>
      <c r="E6" s="293">
        <v>170</v>
      </c>
      <c r="F6" s="289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</row>
    <row r="7" spans="1:21" ht="15.75">
      <c r="A7" s="213"/>
      <c r="B7" s="287"/>
      <c r="C7" s="294" t="s">
        <v>132</v>
      </c>
      <c r="D7" s="295"/>
      <c r="E7" s="296">
        <v>80</v>
      </c>
      <c r="F7" s="289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</row>
    <row r="8" spans="1:21" ht="16.5" thickBot="1">
      <c r="A8" s="213"/>
      <c r="B8" s="287"/>
      <c r="C8" s="297" t="s">
        <v>133</v>
      </c>
      <c r="D8" s="292"/>
      <c r="E8" s="298">
        <v>1700</v>
      </c>
      <c r="F8" s="289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</row>
    <row r="9" spans="1:21" ht="16.5" thickBot="1">
      <c r="A9" s="213"/>
      <c r="B9" s="287"/>
      <c r="C9" s="288"/>
      <c r="D9" s="288"/>
      <c r="E9" s="299"/>
      <c r="F9" s="289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</row>
    <row r="10" spans="1:21" ht="15.75">
      <c r="A10" s="213"/>
      <c r="B10" s="287"/>
      <c r="C10" s="300" t="s">
        <v>134</v>
      </c>
      <c r="D10" s="295"/>
      <c r="E10" s="293"/>
      <c r="F10" s="289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</row>
    <row r="11" spans="1:21" ht="15.75">
      <c r="A11" s="213"/>
      <c r="B11" s="287"/>
      <c r="C11" s="301" t="s">
        <v>135</v>
      </c>
      <c r="D11" s="292"/>
      <c r="E11" s="296">
        <v>250</v>
      </c>
      <c r="F11" s="289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</row>
    <row r="12" spans="1:21" ht="16.5" thickBot="1">
      <c r="A12" s="213"/>
      <c r="B12" s="287"/>
      <c r="C12" s="302" t="s">
        <v>136</v>
      </c>
      <c r="D12" s="292"/>
      <c r="E12" s="303">
        <v>1700</v>
      </c>
      <c r="F12" s="289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</row>
    <row r="13" spans="1:21" ht="16.5" thickBot="1">
      <c r="A13" s="213"/>
      <c r="B13" s="287"/>
      <c r="C13" s="288"/>
      <c r="D13" s="288"/>
      <c r="E13" s="299"/>
      <c r="F13" s="289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</row>
    <row r="14" spans="1:21" ht="15.75">
      <c r="A14" s="213"/>
      <c r="B14" s="287"/>
      <c r="C14" s="304" t="s">
        <v>137</v>
      </c>
      <c r="D14" s="292"/>
      <c r="E14" s="293">
        <v>2</v>
      </c>
      <c r="F14" s="289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</row>
    <row r="15" spans="1:21" ht="15.75">
      <c r="A15" s="213"/>
      <c r="B15" s="287"/>
      <c r="C15" s="305" t="s">
        <v>138</v>
      </c>
      <c r="D15" s="292"/>
      <c r="E15" s="306">
        <v>1.4</v>
      </c>
      <c r="F15" s="289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</row>
    <row r="16" spans="1:21" ht="16.5" thickBot="1">
      <c r="A16" s="213"/>
      <c r="B16" s="287"/>
      <c r="C16" s="307" t="s">
        <v>139</v>
      </c>
      <c r="D16" s="292"/>
      <c r="E16" s="303">
        <v>250</v>
      </c>
      <c r="F16" s="289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</row>
    <row r="17" spans="1:21" ht="16.5" thickBot="1">
      <c r="A17" s="213"/>
      <c r="B17" s="287"/>
      <c r="C17" s="288"/>
      <c r="D17" s="288"/>
      <c r="E17" s="308"/>
      <c r="F17" s="289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</row>
    <row r="18" spans="1:21" ht="15.75">
      <c r="A18" s="213"/>
      <c r="B18" s="287"/>
      <c r="C18" s="309" t="s">
        <v>140</v>
      </c>
      <c r="D18" s="292"/>
      <c r="E18" s="310">
        <v>0.1</v>
      </c>
      <c r="F18" s="289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</row>
    <row r="19" spans="1:21" ht="13.5" thickBot="1">
      <c r="A19" s="213"/>
      <c r="B19" s="311"/>
      <c r="C19" s="312"/>
      <c r="D19" s="312"/>
      <c r="E19" s="313"/>
      <c r="F19" s="314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</row>
    <row r="20" spans="1:21" ht="13.5" thickBot="1">
      <c r="A20" s="213"/>
      <c r="B20" s="213"/>
      <c r="C20" s="215"/>
      <c r="D20" s="215"/>
      <c r="E20" s="315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</row>
    <row r="21" spans="1:21" ht="12.75">
      <c r="A21" s="213"/>
      <c r="B21" s="316"/>
      <c r="C21" s="317"/>
      <c r="D21" s="317"/>
      <c r="E21" s="318"/>
      <c r="F21" s="319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</row>
    <row r="22" spans="1:21" ht="12.75">
      <c r="A22" s="213"/>
      <c r="B22" s="320"/>
      <c r="C22" s="321" t="s">
        <v>141</v>
      </c>
      <c r="D22" s="322"/>
      <c r="E22" s="323"/>
      <c r="F22" s="324"/>
      <c r="G22" s="213"/>
      <c r="H22" s="213"/>
      <c r="I22" s="325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</row>
    <row r="23" spans="1:21" ht="5.25" customHeight="1" thickBot="1">
      <c r="A23" s="213"/>
      <c r="B23" s="320"/>
      <c r="C23" s="322"/>
      <c r="D23" s="322"/>
      <c r="E23" s="322"/>
      <c r="F23" s="324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</row>
    <row r="24" spans="1:21" ht="16.5" thickBot="1">
      <c r="A24" s="213"/>
      <c r="B24" s="320"/>
      <c r="C24" s="326" t="s">
        <v>142</v>
      </c>
      <c r="D24" s="327"/>
      <c r="E24" s="328">
        <f>E6*E7</f>
        <v>13600</v>
      </c>
      <c r="F24" s="329" t="s">
        <v>143</v>
      </c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</row>
    <row r="25" spans="1:21" ht="16.5" thickBot="1">
      <c r="A25" s="213"/>
      <c r="B25" s="320"/>
      <c r="C25" s="327"/>
      <c r="D25" s="327"/>
      <c r="E25" s="330"/>
      <c r="F25" s="324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</row>
    <row r="26" spans="1:21" ht="16.5" thickBot="1">
      <c r="A26" s="213"/>
      <c r="B26" s="320"/>
      <c r="C26" s="331" t="s">
        <v>144</v>
      </c>
      <c r="D26" s="332"/>
      <c r="E26" s="333">
        <f>(E10*E11)/1700*E12</f>
        <v>0</v>
      </c>
      <c r="F26" s="329" t="s">
        <v>143</v>
      </c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</row>
    <row r="27" spans="1:21" ht="16.5" thickBot="1">
      <c r="A27" s="213"/>
      <c r="B27" s="320"/>
      <c r="C27" s="327"/>
      <c r="D27" s="327"/>
      <c r="E27" s="330"/>
      <c r="F27" s="324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</row>
    <row r="28" spans="1:21" ht="16.5" thickBot="1">
      <c r="A28" s="213"/>
      <c r="B28" s="320"/>
      <c r="C28" s="334" t="s">
        <v>145</v>
      </c>
      <c r="D28" s="332"/>
      <c r="E28" s="335">
        <f>E14*E15*E16</f>
        <v>700</v>
      </c>
      <c r="F28" s="329" t="s">
        <v>143</v>
      </c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</row>
    <row r="29" spans="1:21" ht="21.75" customHeight="1" hidden="1">
      <c r="A29" s="213"/>
      <c r="B29" s="320"/>
      <c r="C29" s="336"/>
      <c r="D29" s="336"/>
      <c r="E29" s="337">
        <f>E24+E26+E28</f>
        <v>14300</v>
      </c>
      <c r="F29" s="329" t="s">
        <v>143</v>
      </c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</row>
    <row r="30" spans="1:21" ht="15.75" customHeight="1" thickBot="1">
      <c r="A30" s="213"/>
      <c r="B30" s="320"/>
      <c r="C30" s="338"/>
      <c r="D30" s="338"/>
      <c r="E30" s="330"/>
      <c r="F30" s="329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</row>
    <row r="31" spans="1:21" ht="15.75" customHeight="1" thickBot="1">
      <c r="A31" s="213"/>
      <c r="B31" s="320"/>
      <c r="C31" s="339" t="s">
        <v>146</v>
      </c>
      <c r="D31" s="340"/>
      <c r="E31" s="341">
        <f>E29*E18</f>
        <v>1430</v>
      </c>
      <c r="F31" s="329" t="s">
        <v>143</v>
      </c>
      <c r="G31" s="213"/>
      <c r="H31" s="342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</row>
    <row r="32" spans="1:21" ht="15.75">
      <c r="A32" s="213"/>
      <c r="B32" s="320"/>
      <c r="C32" s="322"/>
      <c r="D32" s="322"/>
      <c r="E32" s="343"/>
      <c r="F32" s="324"/>
      <c r="G32" s="213"/>
      <c r="H32" s="344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</row>
    <row r="33" spans="1:21" ht="13.5" thickBot="1">
      <c r="A33" s="213"/>
      <c r="B33" s="320"/>
      <c r="C33" s="322"/>
      <c r="D33" s="322"/>
      <c r="E33" s="343"/>
      <c r="F33" s="324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</row>
    <row r="34" spans="1:21" ht="18.75" thickBot="1">
      <c r="A34" s="213"/>
      <c r="B34" s="320"/>
      <c r="C34" s="375" t="s">
        <v>147</v>
      </c>
      <c r="D34" s="376"/>
      <c r="E34" s="345">
        <f>E29+E31</f>
        <v>15730</v>
      </c>
      <c r="F34" s="329" t="s">
        <v>143</v>
      </c>
      <c r="G34" s="213"/>
      <c r="H34" s="346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</row>
    <row r="35" spans="1:21" ht="13.5" thickBot="1">
      <c r="A35" s="213"/>
      <c r="B35" s="320"/>
      <c r="C35" s="322"/>
      <c r="D35" s="322"/>
      <c r="E35" s="322"/>
      <c r="F35" s="324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</row>
    <row r="36" spans="1:21" ht="18.75" thickBot="1">
      <c r="A36" s="213"/>
      <c r="B36" s="320"/>
      <c r="C36" s="375" t="s">
        <v>148</v>
      </c>
      <c r="D36" s="376"/>
      <c r="E36" s="360">
        <f>(E34/E8)</f>
        <v>9.25294117647059</v>
      </c>
      <c r="F36" s="329" t="s">
        <v>149</v>
      </c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</row>
    <row r="37" spans="1:21" ht="13.5" thickBot="1">
      <c r="A37" s="213"/>
      <c r="B37" s="347"/>
      <c r="C37" s="348"/>
      <c r="D37" s="348"/>
      <c r="E37" s="348"/>
      <c r="F37" s="349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</row>
    <row r="38" spans="1:21" ht="12.75">
      <c r="A38" s="213"/>
      <c r="B38" s="213"/>
      <c r="C38" s="213"/>
      <c r="D38" s="215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</row>
    <row r="39" spans="1:21" ht="12.75">
      <c r="A39" s="213"/>
      <c r="B39" s="213"/>
      <c r="C39" s="213"/>
      <c r="D39" s="215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</row>
    <row r="40" spans="1:21" ht="12.75">
      <c r="A40" s="213"/>
      <c r="B40" s="213"/>
      <c r="C40" s="213"/>
      <c r="D40" s="215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</row>
    <row r="41" spans="1:21" ht="12.75">
      <c r="A41" s="213"/>
      <c r="B41" s="213"/>
      <c r="C41" s="213"/>
      <c r="D41" s="215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</row>
    <row r="42" spans="1:21" ht="12.75">
      <c r="A42" s="213"/>
      <c r="B42" s="213"/>
      <c r="C42" s="213"/>
      <c r="D42" s="215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</row>
    <row r="43" spans="1:21" ht="12.75">
      <c r="A43" s="213"/>
      <c r="B43" s="213"/>
      <c r="C43" s="213"/>
      <c r="D43" s="215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</row>
    <row r="44" spans="1:21" ht="12.75">
      <c r="A44" s="213"/>
      <c r="B44" s="213"/>
      <c r="C44" s="213"/>
      <c r="D44" s="215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</row>
    <row r="45" spans="1:21" ht="12.75">
      <c r="A45" s="213"/>
      <c r="B45" s="213"/>
      <c r="C45" s="213"/>
      <c r="D45" s="215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</row>
    <row r="46" spans="1:21" ht="12.75">
      <c r="A46" s="213"/>
      <c r="B46" s="213"/>
      <c r="C46" s="213"/>
      <c r="D46" s="215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</row>
    <row r="47" spans="1:21" ht="12.75">
      <c r="A47" s="213"/>
      <c r="B47" s="213"/>
      <c r="C47" s="213"/>
      <c r="D47" s="215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</row>
    <row r="48" spans="1:21" ht="12.75">
      <c r="A48" s="213"/>
      <c r="B48" s="213"/>
      <c r="C48" s="213"/>
      <c r="D48" s="215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</row>
    <row r="49" s="213" customFormat="1" ht="12.75">
      <c r="D49" s="215"/>
    </row>
    <row r="50" s="213" customFormat="1" ht="12.75">
      <c r="D50" s="215"/>
    </row>
    <row r="51" s="213" customFormat="1" ht="12.75">
      <c r="D51" s="215"/>
    </row>
    <row r="52" s="213" customFormat="1" ht="12.75">
      <c r="D52" s="215"/>
    </row>
    <row r="53" s="213" customFormat="1" ht="12.75">
      <c r="D53" s="215"/>
    </row>
    <row r="54" s="213" customFormat="1" ht="12.75">
      <c r="D54" s="215"/>
    </row>
    <row r="55" s="213" customFormat="1" ht="12.75">
      <c r="D55" s="215"/>
    </row>
    <row r="56" s="213" customFormat="1" ht="12.75">
      <c r="D56" s="215"/>
    </row>
    <row r="57" s="213" customFormat="1" ht="12.75">
      <c r="D57" s="215"/>
    </row>
    <row r="58" s="213" customFormat="1" ht="12.75">
      <c r="D58" s="215"/>
    </row>
    <row r="59" s="213" customFormat="1" ht="12.75">
      <c r="D59" s="215"/>
    </row>
    <row r="60" s="213" customFormat="1" ht="12.75">
      <c r="D60" s="215"/>
    </row>
    <row r="61" s="213" customFormat="1" ht="12.75">
      <c r="D61" s="215"/>
    </row>
    <row r="62" s="213" customFormat="1" ht="12.75">
      <c r="D62" s="215"/>
    </row>
    <row r="63" s="213" customFormat="1" ht="12.75">
      <c r="D63" s="215"/>
    </row>
    <row r="64" s="213" customFormat="1" ht="12.75">
      <c r="D64" s="215"/>
    </row>
    <row r="65" s="213" customFormat="1" ht="12.75">
      <c r="D65" s="215"/>
    </row>
    <row r="66" s="213" customFormat="1" ht="12.75">
      <c r="D66" s="215"/>
    </row>
    <row r="67" s="213" customFormat="1" ht="12.75">
      <c r="D67" s="215"/>
    </row>
    <row r="68" s="213" customFormat="1" ht="12.75">
      <c r="D68" s="215"/>
    </row>
    <row r="69" s="213" customFormat="1" ht="12.75">
      <c r="D69" s="215"/>
    </row>
    <row r="70" s="213" customFormat="1" ht="12.75">
      <c r="D70" s="215"/>
    </row>
    <row r="71" s="213" customFormat="1" ht="12.75">
      <c r="D71" s="215"/>
    </row>
    <row r="72" s="213" customFormat="1" ht="12.75">
      <c r="D72" s="215"/>
    </row>
    <row r="73" s="213" customFormat="1" ht="12.75">
      <c r="D73" s="215"/>
    </row>
    <row r="74" s="213" customFormat="1" ht="12.75">
      <c r="D74" s="215"/>
    </row>
    <row r="75" s="213" customFormat="1" ht="12.75">
      <c r="D75" s="215"/>
    </row>
    <row r="76" s="213" customFormat="1" ht="12.75">
      <c r="D76" s="215"/>
    </row>
    <row r="77" s="213" customFormat="1" ht="12.75">
      <c r="D77" s="215"/>
    </row>
    <row r="78" s="213" customFormat="1" ht="12.75">
      <c r="D78" s="215"/>
    </row>
    <row r="79" s="213" customFormat="1" ht="12.75">
      <c r="D79" s="215"/>
    </row>
    <row r="80" s="213" customFormat="1" ht="12.75">
      <c r="D80" s="215"/>
    </row>
    <row r="81" s="213" customFormat="1" ht="12.75">
      <c r="D81" s="215"/>
    </row>
    <row r="82" s="213" customFormat="1" ht="12.75">
      <c r="D82" s="215"/>
    </row>
    <row r="83" s="213" customFormat="1" ht="12.75">
      <c r="D83" s="215"/>
    </row>
    <row r="84" s="213" customFormat="1" ht="12.75">
      <c r="D84" s="215"/>
    </row>
    <row r="85" s="213" customFormat="1" ht="12.75">
      <c r="D85" s="215"/>
    </row>
    <row r="86" s="213" customFormat="1" ht="12.75">
      <c r="D86" s="215"/>
    </row>
    <row r="87" s="213" customFormat="1" ht="12.75">
      <c r="D87" s="215"/>
    </row>
    <row r="88" s="213" customFormat="1" ht="12.75">
      <c r="D88" s="215"/>
    </row>
    <row r="89" s="213" customFormat="1" ht="12.75">
      <c r="D89" s="215"/>
    </row>
    <row r="90" s="213" customFormat="1" ht="12.75">
      <c r="D90" s="215"/>
    </row>
    <row r="91" s="213" customFormat="1" ht="12.75">
      <c r="D91" s="215"/>
    </row>
    <row r="92" s="213" customFormat="1" ht="12.75">
      <c r="D92" s="215"/>
    </row>
    <row r="93" s="213" customFormat="1" ht="12.75">
      <c r="D93" s="215"/>
    </row>
    <row r="94" s="213" customFormat="1" ht="12.75">
      <c r="D94" s="215"/>
    </row>
    <row r="95" s="213" customFormat="1" ht="12.75">
      <c r="D95" s="215"/>
    </row>
    <row r="96" s="213" customFormat="1" ht="12.75">
      <c r="D96" s="215"/>
    </row>
    <row r="97" s="213" customFormat="1" ht="12.75">
      <c r="D97" s="215"/>
    </row>
    <row r="98" s="213" customFormat="1" ht="12.75">
      <c r="D98" s="215"/>
    </row>
    <row r="99" s="213" customFormat="1" ht="12.75">
      <c r="D99" s="215"/>
    </row>
    <row r="100" s="213" customFormat="1" ht="12.75">
      <c r="D100" s="215"/>
    </row>
    <row r="101" s="213" customFormat="1" ht="12.75">
      <c r="D101" s="215"/>
    </row>
    <row r="102" s="213" customFormat="1" ht="12.75">
      <c r="D102" s="215"/>
    </row>
    <row r="103" s="213" customFormat="1" ht="12.75">
      <c r="D103" s="215"/>
    </row>
    <row r="104" s="213" customFormat="1" ht="12.75">
      <c r="D104" s="215"/>
    </row>
    <row r="105" s="213" customFormat="1" ht="12.75">
      <c r="D105" s="215"/>
    </row>
    <row r="106" s="213" customFormat="1" ht="12.75">
      <c r="D106" s="215"/>
    </row>
    <row r="107" s="213" customFormat="1" ht="12.75">
      <c r="D107" s="215"/>
    </row>
    <row r="108" s="213" customFormat="1" ht="12.75">
      <c r="D108" s="215"/>
    </row>
    <row r="109" s="213" customFormat="1" ht="12.75">
      <c r="D109" s="215"/>
    </row>
    <row r="110" s="213" customFormat="1" ht="12.75">
      <c r="D110" s="215"/>
    </row>
    <row r="111" s="213" customFormat="1" ht="12.75">
      <c r="D111" s="215"/>
    </row>
    <row r="112" s="213" customFormat="1" ht="12.75">
      <c r="D112" s="215"/>
    </row>
    <row r="113" s="213" customFormat="1" ht="12.75">
      <c r="D113" s="215"/>
    </row>
    <row r="114" s="213" customFormat="1" ht="12.75">
      <c r="D114" s="215"/>
    </row>
    <row r="115" s="213" customFormat="1" ht="12.75">
      <c r="D115" s="215"/>
    </row>
    <row r="116" s="213" customFormat="1" ht="12.75">
      <c r="D116" s="215"/>
    </row>
    <row r="117" s="213" customFormat="1" ht="12.75">
      <c r="D117" s="215"/>
    </row>
    <row r="118" s="213" customFormat="1" ht="12.75">
      <c r="D118" s="215"/>
    </row>
    <row r="119" s="213" customFormat="1" ht="12.75">
      <c r="D119" s="215"/>
    </row>
    <row r="120" s="213" customFormat="1" ht="12.75">
      <c r="D120" s="215"/>
    </row>
    <row r="121" s="213" customFormat="1" ht="12.75">
      <c r="D121" s="215"/>
    </row>
    <row r="122" s="213" customFormat="1" ht="12.75">
      <c r="D122" s="215"/>
    </row>
    <row r="123" s="213" customFormat="1" ht="12.75">
      <c r="D123" s="215"/>
    </row>
    <row r="124" s="213" customFormat="1" ht="12.75">
      <c r="D124" s="215"/>
    </row>
    <row r="125" s="213" customFormat="1" ht="12.75">
      <c r="D125" s="215"/>
    </row>
    <row r="126" s="213" customFormat="1" ht="12.75">
      <c r="D126" s="215"/>
    </row>
    <row r="127" s="213" customFormat="1" ht="12.75">
      <c r="D127" s="215"/>
    </row>
    <row r="128" s="213" customFormat="1" ht="12.75">
      <c r="D128" s="215"/>
    </row>
    <row r="129" s="213" customFormat="1" ht="12.75">
      <c r="D129" s="215"/>
    </row>
    <row r="130" s="213" customFormat="1" ht="12.75">
      <c r="D130" s="215"/>
    </row>
    <row r="131" s="213" customFormat="1" ht="12.75">
      <c r="D131" s="215"/>
    </row>
    <row r="132" s="213" customFormat="1" ht="12.75">
      <c r="D132" s="215"/>
    </row>
    <row r="133" s="213" customFormat="1" ht="12.75">
      <c r="D133" s="215"/>
    </row>
    <row r="134" s="213" customFormat="1" ht="12.75">
      <c r="D134" s="215"/>
    </row>
    <row r="135" s="213" customFormat="1" ht="12.75">
      <c r="D135" s="215"/>
    </row>
    <row r="136" s="213" customFormat="1" ht="12.75">
      <c r="D136" s="215"/>
    </row>
    <row r="137" s="213" customFormat="1" ht="12.75">
      <c r="D137" s="215"/>
    </row>
    <row r="138" s="213" customFormat="1" ht="12.75">
      <c r="D138" s="215"/>
    </row>
    <row r="139" s="213" customFormat="1" ht="12.75">
      <c r="D139" s="215"/>
    </row>
    <row r="140" s="213" customFormat="1" ht="12.75">
      <c r="D140" s="215"/>
    </row>
    <row r="141" s="213" customFormat="1" ht="12.75">
      <c r="D141" s="215"/>
    </row>
    <row r="142" s="213" customFormat="1" ht="12.75">
      <c r="D142" s="215"/>
    </row>
    <row r="143" s="213" customFormat="1" ht="12.75">
      <c r="D143" s="215"/>
    </row>
    <row r="144" s="213" customFormat="1" ht="12.75">
      <c r="D144" s="215"/>
    </row>
    <row r="145" s="213" customFormat="1" ht="12.75">
      <c r="D145" s="215"/>
    </row>
    <row r="146" s="213" customFormat="1" ht="12.75">
      <c r="D146" s="215"/>
    </row>
    <row r="147" s="213" customFormat="1" ht="12.75">
      <c r="D147" s="215"/>
    </row>
    <row r="148" s="213" customFormat="1" ht="12.75">
      <c r="D148" s="215"/>
    </row>
    <row r="149" s="213" customFormat="1" ht="12.75">
      <c r="D149" s="215"/>
    </row>
    <row r="150" s="213" customFormat="1" ht="12.75">
      <c r="D150" s="215"/>
    </row>
    <row r="151" s="213" customFormat="1" ht="12.75">
      <c r="D151" s="215"/>
    </row>
    <row r="152" s="213" customFormat="1" ht="12.75">
      <c r="D152" s="215"/>
    </row>
    <row r="153" s="213" customFormat="1" ht="12.75">
      <c r="D153" s="215"/>
    </row>
    <row r="154" s="213" customFormat="1" ht="12.75">
      <c r="D154" s="215"/>
    </row>
    <row r="155" s="213" customFormat="1" ht="12.75">
      <c r="D155" s="215"/>
    </row>
    <row r="156" s="213" customFormat="1" ht="12.75">
      <c r="D156" s="215"/>
    </row>
    <row r="157" s="213" customFormat="1" ht="12.75">
      <c r="D157" s="215"/>
    </row>
    <row r="158" s="213" customFormat="1" ht="12.75">
      <c r="D158" s="215"/>
    </row>
    <row r="159" s="213" customFormat="1" ht="12.75">
      <c r="D159" s="215"/>
    </row>
    <row r="160" s="213" customFormat="1" ht="12.75">
      <c r="D160" s="215"/>
    </row>
    <row r="161" s="213" customFormat="1" ht="12.75">
      <c r="D161" s="215"/>
    </row>
    <row r="162" s="213" customFormat="1" ht="12.75">
      <c r="D162" s="215"/>
    </row>
    <row r="163" s="213" customFormat="1" ht="12.75">
      <c r="D163" s="215"/>
    </row>
    <row r="164" s="213" customFormat="1" ht="12.75">
      <c r="D164" s="215"/>
    </row>
    <row r="165" s="213" customFormat="1" ht="12.75">
      <c r="D165" s="215"/>
    </row>
    <row r="166" s="213" customFormat="1" ht="12.75">
      <c r="D166" s="215"/>
    </row>
    <row r="167" s="213" customFormat="1" ht="12.75">
      <c r="D167" s="215"/>
    </row>
    <row r="168" s="213" customFormat="1" ht="12.75">
      <c r="D168" s="215"/>
    </row>
    <row r="169" s="213" customFormat="1" ht="12.75">
      <c r="D169" s="215"/>
    </row>
    <row r="170" s="213" customFormat="1" ht="12.75">
      <c r="D170" s="215"/>
    </row>
    <row r="171" s="213" customFormat="1" ht="12.75">
      <c r="D171" s="215"/>
    </row>
    <row r="172" s="213" customFormat="1" ht="12.75">
      <c r="D172" s="215"/>
    </row>
    <row r="173" s="213" customFormat="1" ht="12.75">
      <c r="D173" s="215"/>
    </row>
    <row r="174" s="213" customFormat="1" ht="12.75">
      <c r="D174" s="215"/>
    </row>
    <row r="175" s="213" customFormat="1" ht="12.75">
      <c r="D175" s="215"/>
    </row>
    <row r="176" s="213" customFormat="1" ht="12.75">
      <c r="D176" s="215"/>
    </row>
    <row r="177" s="213" customFormat="1" ht="12.75">
      <c r="D177" s="215"/>
    </row>
    <row r="178" s="213" customFormat="1" ht="12.75">
      <c r="D178" s="215"/>
    </row>
    <row r="179" s="213" customFormat="1" ht="12.75">
      <c r="D179" s="215"/>
    </row>
    <row r="180" s="213" customFormat="1" ht="12.75">
      <c r="D180" s="215"/>
    </row>
    <row r="181" s="213" customFormat="1" ht="12.75">
      <c r="D181" s="215"/>
    </row>
    <row r="182" s="213" customFormat="1" ht="12.75">
      <c r="D182" s="215"/>
    </row>
    <row r="183" s="213" customFormat="1" ht="12.75">
      <c r="D183" s="215"/>
    </row>
    <row r="184" s="213" customFormat="1" ht="12.75">
      <c r="D184" s="215"/>
    </row>
    <row r="185" s="213" customFormat="1" ht="12.75">
      <c r="D185" s="215"/>
    </row>
    <row r="186" s="213" customFormat="1" ht="12.75">
      <c r="D186" s="215"/>
    </row>
    <row r="187" s="213" customFormat="1" ht="12.75">
      <c r="D187" s="215"/>
    </row>
    <row r="188" s="213" customFormat="1" ht="12.75">
      <c r="D188" s="215"/>
    </row>
    <row r="189" s="213" customFormat="1" ht="12.75">
      <c r="D189" s="215"/>
    </row>
    <row r="190" s="213" customFormat="1" ht="12.75">
      <c r="D190" s="215"/>
    </row>
    <row r="191" s="213" customFormat="1" ht="12.75">
      <c r="D191" s="215"/>
    </row>
    <row r="192" s="213" customFormat="1" ht="12.75">
      <c r="D192" s="215"/>
    </row>
    <row r="193" s="213" customFormat="1" ht="12.75">
      <c r="D193" s="215"/>
    </row>
    <row r="194" s="213" customFormat="1" ht="12.75">
      <c r="D194" s="215"/>
    </row>
    <row r="195" s="213" customFormat="1" ht="12.75">
      <c r="D195" s="215"/>
    </row>
    <row r="196" s="213" customFormat="1" ht="12.75">
      <c r="D196" s="215"/>
    </row>
    <row r="197" s="213" customFormat="1" ht="12.75">
      <c r="D197" s="215"/>
    </row>
    <row r="198" s="213" customFormat="1" ht="12.75">
      <c r="D198" s="215"/>
    </row>
    <row r="199" s="213" customFormat="1" ht="12.75">
      <c r="D199" s="215"/>
    </row>
    <row r="200" s="213" customFormat="1" ht="12.75">
      <c r="D200" s="215"/>
    </row>
    <row r="201" s="213" customFormat="1" ht="12.75">
      <c r="D201" s="215"/>
    </row>
    <row r="202" s="213" customFormat="1" ht="12.75">
      <c r="D202" s="215"/>
    </row>
    <row r="203" s="213" customFormat="1" ht="12.75">
      <c r="D203" s="215"/>
    </row>
    <row r="204" s="213" customFormat="1" ht="12.75">
      <c r="D204" s="215"/>
    </row>
    <row r="205" s="213" customFormat="1" ht="12.75">
      <c r="D205" s="215"/>
    </row>
    <row r="206" s="213" customFormat="1" ht="12.75">
      <c r="D206" s="215"/>
    </row>
    <row r="207" s="213" customFormat="1" ht="12.75">
      <c r="D207" s="215"/>
    </row>
    <row r="208" s="213" customFormat="1" ht="12.75">
      <c r="D208" s="215"/>
    </row>
    <row r="209" s="213" customFormat="1" ht="12.75">
      <c r="D209" s="215"/>
    </row>
    <row r="210" s="213" customFormat="1" ht="12.75">
      <c r="D210" s="215"/>
    </row>
    <row r="211" s="213" customFormat="1" ht="12.75">
      <c r="D211" s="215"/>
    </row>
    <row r="212" s="213" customFormat="1" ht="12.75">
      <c r="D212" s="215"/>
    </row>
    <row r="213" s="213" customFormat="1" ht="12.75">
      <c r="D213" s="215"/>
    </row>
    <row r="214" s="213" customFormat="1" ht="12.75">
      <c r="D214" s="215"/>
    </row>
    <row r="215" s="213" customFormat="1" ht="12.75">
      <c r="D215" s="215"/>
    </row>
    <row r="216" s="213" customFormat="1" ht="12.75">
      <c r="D216" s="215"/>
    </row>
    <row r="217" s="213" customFormat="1" ht="12.75">
      <c r="D217" s="215"/>
    </row>
    <row r="218" s="213" customFormat="1" ht="12.75">
      <c r="D218" s="215"/>
    </row>
    <row r="219" s="213" customFormat="1" ht="12.75">
      <c r="D219" s="215"/>
    </row>
    <row r="220" s="213" customFormat="1" ht="12.75">
      <c r="D220" s="215"/>
    </row>
    <row r="221" s="213" customFormat="1" ht="12.75">
      <c r="D221" s="215"/>
    </row>
    <row r="222" s="213" customFormat="1" ht="12.75">
      <c r="D222" s="215"/>
    </row>
    <row r="223" s="213" customFormat="1" ht="12.75">
      <c r="D223" s="215"/>
    </row>
    <row r="224" s="213" customFormat="1" ht="12.75">
      <c r="D224" s="215"/>
    </row>
    <row r="225" s="213" customFormat="1" ht="12.75">
      <c r="D225" s="215"/>
    </row>
    <row r="226" s="213" customFormat="1" ht="12.75">
      <c r="D226" s="215"/>
    </row>
    <row r="227" s="213" customFormat="1" ht="12.75">
      <c r="D227" s="215"/>
    </row>
    <row r="228" s="213" customFormat="1" ht="12.75">
      <c r="D228" s="215"/>
    </row>
    <row r="229" s="213" customFormat="1" ht="12.75">
      <c r="D229" s="215"/>
    </row>
    <row r="230" s="213" customFormat="1" ht="12.75">
      <c r="D230" s="215"/>
    </row>
    <row r="231" s="213" customFormat="1" ht="12.75">
      <c r="D231" s="215"/>
    </row>
    <row r="232" s="213" customFormat="1" ht="12.75">
      <c r="D232" s="215"/>
    </row>
    <row r="233" s="213" customFormat="1" ht="12.75">
      <c r="D233" s="215"/>
    </row>
    <row r="234" s="213" customFormat="1" ht="12.75">
      <c r="D234" s="215"/>
    </row>
    <row r="235" s="213" customFormat="1" ht="12.75">
      <c r="D235" s="215"/>
    </row>
    <row r="236" s="213" customFormat="1" ht="12.75">
      <c r="D236" s="215"/>
    </row>
    <row r="237" s="213" customFormat="1" ht="12.75">
      <c r="D237" s="215"/>
    </row>
    <row r="238" s="213" customFormat="1" ht="12.75">
      <c r="D238" s="215"/>
    </row>
    <row r="239" s="213" customFormat="1" ht="12.75">
      <c r="D239" s="215"/>
    </row>
    <row r="240" s="213" customFormat="1" ht="12.75">
      <c r="D240" s="215"/>
    </row>
    <row r="241" s="213" customFormat="1" ht="12.75">
      <c r="D241" s="215"/>
    </row>
    <row r="242" s="213" customFormat="1" ht="12.75">
      <c r="D242" s="215"/>
    </row>
    <row r="243" s="213" customFormat="1" ht="12.75">
      <c r="D243" s="215"/>
    </row>
    <row r="244" s="213" customFormat="1" ht="12.75">
      <c r="D244" s="215"/>
    </row>
    <row r="245" s="213" customFormat="1" ht="12.75">
      <c r="D245" s="215"/>
    </row>
    <row r="246" s="213" customFormat="1" ht="12.75">
      <c r="D246" s="215"/>
    </row>
    <row r="247" s="213" customFormat="1" ht="12.75">
      <c r="D247" s="215"/>
    </row>
    <row r="248" s="213" customFormat="1" ht="12.75">
      <c r="D248" s="215"/>
    </row>
    <row r="249" s="213" customFormat="1" ht="12.75">
      <c r="D249" s="215"/>
    </row>
    <row r="250" s="213" customFormat="1" ht="12.75">
      <c r="D250" s="215"/>
    </row>
    <row r="251" s="213" customFormat="1" ht="12.75">
      <c r="D251" s="215"/>
    </row>
    <row r="252" s="213" customFormat="1" ht="12.75">
      <c r="D252" s="215"/>
    </row>
    <row r="253" s="213" customFormat="1" ht="12.75">
      <c r="D253" s="215"/>
    </row>
    <row r="254" s="213" customFormat="1" ht="12.75">
      <c r="D254" s="215"/>
    </row>
    <row r="255" s="213" customFormat="1" ht="12.75">
      <c r="D255" s="215"/>
    </row>
    <row r="256" s="213" customFormat="1" ht="12.75">
      <c r="D256" s="215"/>
    </row>
    <row r="257" s="213" customFormat="1" ht="12.75">
      <c r="D257" s="215"/>
    </row>
    <row r="258" s="213" customFormat="1" ht="12.75">
      <c r="D258" s="215"/>
    </row>
    <row r="259" s="213" customFormat="1" ht="12.75">
      <c r="D259" s="215"/>
    </row>
    <row r="260" s="213" customFormat="1" ht="12.75">
      <c r="D260" s="215"/>
    </row>
    <row r="261" s="213" customFormat="1" ht="12.75">
      <c r="D261" s="215"/>
    </row>
    <row r="262" s="213" customFormat="1" ht="12.75">
      <c r="D262" s="215"/>
    </row>
    <row r="263" s="213" customFormat="1" ht="12.75">
      <c r="D263" s="215"/>
    </row>
    <row r="264" s="213" customFormat="1" ht="12.75">
      <c r="D264" s="215"/>
    </row>
    <row r="265" s="213" customFormat="1" ht="12.75">
      <c r="D265" s="215"/>
    </row>
    <row r="266" s="213" customFormat="1" ht="12.75">
      <c r="D266" s="215"/>
    </row>
    <row r="267" s="213" customFormat="1" ht="12.75">
      <c r="D267" s="215"/>
    </row>
    <row r="268" s="213" customFormat="1" ht="12.75">
      <c r="D268" s="215"/>
    </row>
    <row r="269" s="213" customFormat="1" ht="12.75">
      <c r="D269" s="215"/>
    </row>
    <row r="270" s="213" customFormat="1" ht="12.75">
      <c r="D270" s="215"/>
    </row>
    <row r="271" s="213" customFormat="1" ht="12.75">
      <c r="D271" s="215"/>
    </row>
    <row r="272" s="213" customFormat="1" ht="12.75">
      <c r="D272" s="215"/>
    </row>
    <row r="273" s="213" customFormat="1" ht="12.75">
      <c r="D273" s="215"/>
    </row>
    <row r="274" s="213" customFormat="1" ht="12.75">
      <c r="D274" s="215"/>
    </row>
    <row r="275" s="213" customFormat="1" ht="12.75">
      <c r="D275" s="215"/>
    </row>
    <row r="276" s="213" customFormat="1" ht="12.75">
      <c r="D276" s="215"/>
    </row>
    <row r="277" s="213" customFormat="1" ht="12.75">
      <c r="D277" s="215"/>
    </row>
    <row r="278" s="213" customFormat="1" ht="12.75">
      <c r="D278" s="215"/>
    </row>
    <row r="279" s="213" customFormat="1" ht="12.75">
      <c r="D279" s="215"/>
    </row>
    <row r="280" s="213" customFormat="1" ht="12.75">
      <c r="D280" s="215"/>
    </row>
    <row r="281" s="213" customFormat="1" ht="12.75">
      <c r="D281" s="215"/>
    </row>
    <row r="282" s="213" customFormat="1" ht="12.75">
      <c r="D282" s="215"/>
    </row>
    <row r="283" s="213" customFormat="1" ht="12.75">
      <c r="D283" s="215"/>
    </row>
    <row r="284" s="213" customFormat="1" ht="12.75">
      <c r="D284" s="215"/>
    </row>
    <row r="285" s="213" customFormat="1" ht="12.75">
      <c r="D285" s="215"/>
    </row>
    <row r="286" s="213" customFormat="1" ht="12.75">
      <c r="D286" s="215"/>
    </row>
    <row r="287" s="213" customFormat="1" ht="12.75">
      <c r="D287" s="215"/>
    </row>
    <row r="288" s="213" customFormat="1" ht="12.75">
      <c r="D288" s="215"/>
    </row>
    <row r="289" s="213" customFormat="1" ht="12.75">
      <c r="D289" s="215"/>
    </row>
  </sheetData>
  <sheetProtection password="EF7E" sheet="1" objects="1" scenarios="1" selectLockedCells="1"/>
  <mergeCells count="3">
    <mergeCell ref="C2:E2"/>
    <mergeCell ref="C34:D34"/>
    <mergeCell ref="C36:D3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1" width="55.57421875" style="0" customWidth="1"/>
    <col min="2" max="2" width="19.140625" style="0" bestFit="1" customWidth="1"/>
    <col min="3" max="3" width="22.28125" style="0" bestFit="1" customWidth="1"/>
    <col min="4" max="4" width="25.00390625" style="0" customWidth="1"/>
    <col min="5" max="5" width="17.140625" style="0" bestFit="1" customWidth="1"/>
  </cols>
  <sheetData>
    <row r="1" spans="1:4" ht="23.25" customHeight="1">
      <c r="A1" s="433" t="s">
        <v>113</v>
      </c>
      <c r="B1" s="433"/>
      <c r="C1" s="433"/>
      <c r="D1" s="9"/>
    </row>
    <row r="3" spans="1:8" ht="20.25">
      <c r="A3" s="13" t="s">
        <v>14</v>
      </c>
      <c r="B3" s="13" t="s">
        <v>15</v>
      </c>
      <c r="C3" s="13" t="s">
        <v>16</v>
      </c>
      <c r="D3" s="13" t="s">
        <v>18</v>
      </c>
      <c r="E3" s="13" t="s">
        <v>17</v>
      </c>
      <c r="F3" s="20" t="s">
        <v>25</v>
      </c>
      <c r="G3" s="21" t="s">
        <v>36</v>
      </c>
      <c r="H3" s="21" t="s">
        <v>24</v>
      </c>
    </row>
    <row r="4" spans="1:8" ht="12.75" customHeight="1">
      <c r="A4" s="18"/>
      <c r="B4" s="18"/>
      <c r="C4" s="18"/>
      <c r="D4" s="18"/>
      <c r="E4" s="18"/>
      <c r="F4" s="22"/>
      <c r="G4" s="22"/>
      <c r="H4" s="12"/>
    </row>
    <row r="5" spans="1:8" ht="15.75">
      <c r="A5" s="18" t="s">
        <v>19</v>
      </c>
      <c r="B5" s="19"/>
      <c r="C5" s="19"/>
      <c r="D5" s="19"/>
      <c r="E5" s="19"/>
      <c r="F5" s="19"/>
      <c r="G5" s="19"/>
      <c r="H5" s="19"/>
    </row>
    <row r="6" spans="1:8" ht="12.75">
      <c r="A6" s="14" t="s">
        <v>20</v>
      </c>
      <c r="B6" s="15">
        <v>4</v>
      </c>
      <c r="C6" s="16">
        <v>7.5</v>
      </c>
      <c r="D6" s="16">
        <v>7.5</v>
      </c>
      <c r="E6" s="16">
        <f>(B6*C6)+(B6*D6)</f>
        <v>60</v>
      </c>
      <c r="F6" s="1"/>
      <c r="G6" s="1"/>
      <c r="H6" s="1"/>
    </row>
    <row r="7" spans="1:8" ht="12.75">
      <c r="A7" s="14" t="s">
        <v>21</v>
      </c>
      <c r="B7" s="15">
        <v>6</v>
      </c>
      <c r="C7" s="16">
        <v>7.5</v>
      </c>
      <c r="D7" s="16">
        <v>5.5</v>
      </c>
      <c r="E7" s="16">
        <f>(B7*C7)+(B7*D7)</f>
        <v>78</v>
      </c>
      <c r="F7" s="1"/>
      <c r="G7" s="1"/>
      <c r="H7" s="1"/>
    </row>
    <row r="8" spans="1:8" ht="12.75">
      <c r="A8" s="14" t="s">
        <v>22</v>
      </c>
      <c r="B8" s="15">
        <v>4</v>
      </c>
      <c r="C8" s="16">
        <v>6.5</v>
      </c>
      <c r="D8" s="16"/>
      <c r="E8" s="16">
        <f>(B8*C8)+(B8*D8)</f>
        <v>26</v>
      </c>
      <c r="F8" s="1"/>
      <c r="G8" s="1"/>
      <c r="H8" s="1"/>
    </row>
    <row r="9" spans="1:8" ht="12.75">
      <c r="A9" s="14" t="s">
        <v>23</v>
      </c>
      <c r="B9" s="15">
        <v>6</v>
      </c>
      <c r="C9" s="16">
        <v>6.5</v>
      </c>
      <c r="D9" s="16"/>
      <c r="E9" s="16">
        <f>(B9*C9)+(B9*D9)</f>
        <v>39</v>
      </c>
      <c r="F9" s="17">
        <f>SUM(E6:E9)</f>
        <v>203</v>
      </c>
      <c r="G9" s="17">
        <f>(E8+E9)/2</f>
        <v>32.5</v>
      </c>
      <c r="H9" s="17">
        <f>F9/4</f>
        <v>50.75</v>
      </c>
    </row>
    <row r="11" spans="1:8" ht="15.75">
      <c r="A11" s="18" t="s">
        <v>26</v>
      </c>
      <c r="B11" s="19"/>
      <c r="C11" s="19"/>
      <c r="D11" s="19"/>
      <c r="E11" s="19"/>
      <c r="F11" s="19"/>
      <c r="G11" s="19"/>
      <c r="H11" s="19"/>
    </row>
    <row r="12" spans="1:8" ht="12.75">
      <c r="A12" s="14" t="s">
        <v>20</v>
      </c>
      <c r="B12" s="15">
        <v>4</v>
      </c>
      <c r="C12" s="16">
        <v>10.3</v>
      </c>
      <c r="D12" s="16">
        <v>7.5</v>
      </c>
      <c r="E12" s="16">
        <f>(B12*C12)+(B12*D12)</f>
        <v>71.2</v>
      </c>
      <c r="F12" s="1"/>
      <c r="G12" s="1"/>
      <c r="H12" s="1"/>
    </row>
    <row r="13" spans="1:8" ht="12.75">
      <c r="A13" s="14" t="s">
        <v>21</v>
      </c>
      <c r="B13" s="15">
        <v>6</v>
      </c>
      <c r="C13" s="16">
        <v>10.3</v>
      </c>
      <c r="D13" s="16">
        <v>5.5</v>
      </c>
      <c r="E13" s="16">
        <f>(B13*C13)+(B13*D13)</f>
        <v>94.80000000000001</v>
      </c>
      <c r="F13" s="1"/>
      <c r="G13" s="1"/>
      <c r="H13" s="1"/>
    </row>
    <row r="14" spans="1:9" ht="12.75">
      <c r="A14" s="14" t="s">
        <v>22</v>
      </c>
      <c r="B14" s="15">
        <v>4</v>
      </c>
      <c r="C14" s="16">
        <v>9.3</v>
      </c>
      <c r="D14" s="16"/>
      <c r="E14" s="16">
        <f>(B14*C14)+(B14*D14)</f>
        <v>37.2</v>
      </c>
      <c r="F14" s="1"/>
      <c r="G14" s="1"/>
      <c r="H14" s="1"/>
      <c r="I14" s="11"/>
    </row>
    <row r="15" spans="1:8" ht="12.75">
      <c r="A15" s="14" t="s">
        <v>23</v>
      </c>
      <c r="B15" s="15">
        <v>6</v>
      </c>
      <c r="C15" s="16">
        <v>9.3</v>
      </c>
      <c r="D15" s="16"/>
      <c r="E15" s="16">
        <f>(B15*C15)+(B15*D15)</f>
        <v>55.800000000000004</v>
      </c>
      <c r="F15" s="17">
        <f>SUM(E12:E15)</f>
        <v>259</v>
      </c>
      <c r="G15" s="17">
        <f>(E14+E15)/2</f>
        <v>46.5</v>
      </c>
      <c r="H15" s="17">
        <f>F15/4</f>
        <v>64.75</v>
      </c>
    </row>
    <row r="17" ht="15.75">
      <c r="A17" s="10" t="s">
        <v>5</v>
      </c>
    </row>
    <row r="18" spans="1:8" ht="12.75">
      <c r="A18" s="14" t="s">
        <v>20</v>
      </c>
      <c r="B18" s="15">
        <v>2</v>
      </c>
      <c r="C18" s="16">
        <v>7.5</v>
      </c>
      <c r="D18" s="16">
        <v>9.6</v>
      </c>
      <c r="E18" s="16">
        <f>(B18*C18)+(B18*D18)</f>
        <v>34.2</v>
      </c>
      <c r="F18" s="1"/>
      <c r="G18" s="1"/>
      <c r="H18" s="1"/>
    </row>
    <row r="19" spans="1:8" ht="12.75">
      <c r="A19" s="14" t="s">
        <v>21</v>
      </c>
      <c r="B19" s="15">
        <v>3</v>
      </c>
      <c r="C19" s="16">
        <v>7.5</v>
      </c>
      <c r="D19" s="16">
        <v>9.6</v>
      </c>
      <c r="E19" s="16">
        <f>(B19*C19)+(B19*D19)</f>
        <v>51.3</v>
      </c>
      <c r="F19" s="1"/>
      <c r="G19" s="1"/>
      <c r="H19" s="1"/>
    </row>
    <row r="20" spans="1:8" ht="12.75">
      <c r="A20" s="14" t="s">
        <v>22</v>
      </c>
      <c r="B20" s="15">
        <v>2</v>
      </c>
      <c r="C20" s="16">
        <v>6.5</v>
      </c>
      <c r="D20" s="16"/>
      <c r="E20" s="16">
        <f>(B20*C20)+(B20*D20)</f>
        <v>13</v>
      </c>
      <c r="F20" s="1"/>
      <c r="G20" s="1"/>
      <c r="H20" s="1"/>
    </row>
    <row r="21" spans="1:8" ht="12.75">
      <c r="A21" s="14" t="s">
        <v>23</v>
      </c>
      <c r="B21" s="15">
        <v>3</v>
      </c>
      <c r="C21" s="16">
        <v>6.5</v>
      </c>
      <c r="D21" s="16"/>
      <c r="E21" s="16">
        <f>(B21*C21)+(B21*D21)</f>
        <v>19.5</v>
      </c>
      <c r="F21" s="17">
        <f>SUM(E18:E21)</f>
        <v>118</v>
      </c>
      <c r="G21" s="17">
        <f>(E20+E21)/2</f>
        <v>16.25</v>
      </c>
      <c r="H21" s="17">
        <f>F21/4</f>
        <v>29.5</v>
      </c>
    </row>
    <row r="23" ht="15.75">
      <c r="A23" s="10" t="s">
        <v>27</v>
      </c>
    </row>
    <row r="24" spans="1:8" ht="12.75">
      <c r="A24" s="14" t="s">
        <v>20</v>
      </c>
      <c r="B24" s="15">
        <v>1</v>
      </c>
      <c r="C24" s="16">
        <v>7.5</v>
      </c>
      <c r="D24" s="16">
        <v>13.7</v>
      </c>
      <c r="E24" s="16">
        <f>(B24*C24)+(B24*D24)</f>
        <v>21.2</v>
      </c>
      <c r="F24" s="1"/>
      <c r="G24" s="1"/>
      <c r="H24" s="1"/>
    </row>
    <row r="25" spans="1:8" ht="12.75">
      <c r="A25" s="14" t="s">
        <v>21</v>
      </c>
      <c r="B25" s="15">
        <v>1</v>
      </c>
      <c r="C25" s="16">
        <v>7.5</v>
      </c>
      <c r="D25" s="16">
        <v>13.7</v>
      </c>
      <c r="E25" s="16">
        <f>(B25*C25)+(B25*D25)</f>
        <v>21.2</v>
      </c>
      <c r="F25" s="1"/>
      <c r="G25" s="1"/>
      <c r="H25" s="1"/>
    </row>
    <row r="26" spans="1:8" ht="12.75">
      <c r="A26" s="14" t="s">
        <v>22</v>
      </c>
      <c r="B26" s="15">
        <v>1</v>
      </c>
      <c r="C26" s="16">
        <v>6.5</v>
      </c>
      <c r="D26" s="16"/>
      <c r="E26" s="16">
        <f>(B26*C26)+(B26*D26)</f>
        <v>6.5</v>
      </c>
      <c r="F26" s="1"/>
      <c r="G26" s="1"/>
      <c r="H26" s="1"/>
    </row>
    <row r="27" spans="1:8" ht="12.75">
      <c r="A27" s="14" t="s">
        <v>23</v>
      </c>
      <c r="B27" s="15">
        <v>1</v>
      </c>
      <c r="C27" s="16">
        <v>6.5</v>
      </c>
      <c r="D27" s="16"/>
      <c r="E27" s="16">
        <f>(B27*C27)+(B27*D27)</f>
        <v>6.5</v>
      </c>
      <c r="F27" s="17">
        <f>SUM(E24:E27)</f>
        <v>55.4</v>
      </c>
      <c r="G27" s="17">
        <f>(E26+E27)/2</f>
        <v>6.5</v>
      </c>
      <c r="H27" s="17">
        <f>F27/4</f>
        <v>13.85</v>
      </c>
    </row>
    <row r="30" spans="1:4" ht="15.75">
      <c r="A30" s="434" t="s">
        <v>28</v>
      </c>
      <c r="B30" s="434"/>
      <c r="C30" s="434"/>
      <c r="D30" s="434"/>
    </row>
    <row r="38" ht="12.75">
      <c r="E38" t="s">
        <v>29</v>
      </c>
    </row>
  </sheetData>
  <sheetProtection password="EF7E" sheet="1" objects="1" scenarios="1" selectLockedCells="1"/>
  <mergeCells count="2">
    <mergeCell ref="A1:C1"/>
    <mergeCell ref="A30:D30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1"/>
  <sheetViews>
    <sheetView zoomScale="111" zoomScaleNormal="111" zoomScalePageLayoutView="0" workbookViewId="0" topLeftCell="A1">
      <selection activeCell="M19" sqref="M19"/>
    </sheetView>
  </sheetViews>
  <sheetFormatPr defaultColWidth="11.421875" defaultRowHeight="12.75"/>
  <cols>
    <col min="1" max="1" width="2.421875" style="28" customWidth="1"/>
    <col min="2" max="2" width="2.00390625" style="28" customWidth="1"/>
    <col min="3" max="3" width="17.7109375" style="28" customWidth="1"/>
    <col min="4" max="4" width="2.00390625" style="28" customWidth="1"/>
    <col min="5" max="5" width="17.421875" style="28" customWidth="1"/>
    <col min="6" max="6" width="2.00390625" style="28" customWidth="1"/>
    <col min="7" max="7" width="19.00390625" style="28" customWidth="1"/>
    <col min="8" max="8" width="2.00390625" style="28" customWidth="1"/>
    <col min="9" max="9" width="23.00390625" style="28" customWidth="1"/>
    <col min="10" max="10" width="2.00390625" style="28" customWidth="1"/>
    <col min="11" max="11" width="17.140625" style="28" customWidth="1"/>
    <col min="12" max="12" width="1.57421875" style="28" customWidth="1"/>
    <col min="13" max="13" width="15.140625" style="28" customWidth="1"/>
    <col min="14" max="14" width="1.7109375" style="28" customWidth="1"/>
    <col min="15" max="15" width="8.7109375" style="28" customWidth="1"/>
    <col min="16" max="16" width="2.00390625" style="28" customWidth="1"/>
    <col min="17" max="17" width="16.421875" style="28" customWidth="1"/>
    <col min="18" max="18" width="2.00390625" style="28" customWidth="1"/>
    <col min="19" max="19" width="1.421875" style="28" customWidth="1"/>
    <col min="20" max="20" width="11.421875" style="28" customWidth="1"/>
    <col min="21" max="21" width="16.7109375" style="28" hidden="1" customWidth="1"/>
    <col min="22" max="22" width="20.8515625" style="28" customWidth="1"/>
    <col min="23" max="28" width="11.421875" style="28" customWidth="1"/>
    <col min="29" max="29" width="14.7109375" style="28" customWidth="1"/>
    <col min="30" max="30" width="10.00390625" style="28" customWidth="1"/>
    <col min="31" max="31" width="12.28125" style="28" customWidth="1"/>
    <col min="32" max="16384" width="11.421875" style="28" customWidth="1"/>
  </cols>
  <sheetData>
    <row r="1" spans="1:35" ht="12.75" customHeight="1" thickBo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</row>
    <row r="2" spans="1:35" ht="42.75" customHeight="1">
      <c r="A2" s="191"/>
      <c r="B2" s="53"/>
      <c r="C2" s="402" t="s">
        <v>108</v>
      </c>
      <c r="D2" s="402"/>
      <c r="E2" s="402"/>
      <c r="F2" s="402"/>
      <c r="G2" s="402"/>
      <c r="H2" s="96"/>
      <c r="I2" s="56"/>
      <c r="J2" s="57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</row>
    <row r="3" spans="1:35" ht="27.75" customHeight="1">
      <c r="A3" s="191"/>
      <c r="B3" s="58"/>
      <c r="C3" s="97"/>
      <c r="D3" s="97"/>
      <c r="E3" s="97"/>
      <c r="F3" s="97"/>
      <c r="G3" s="97"/>
      <c r="H3" s="97"/>
      <c r="I3" s="63"/>
      <c r="J3" s="59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</row>
    <row r="4" spans="1:35" ht="9" customHeight="1" thickBot="1">
      <c r="A4" s="191"/>
      <c r="B4" s="58"/>
      <c r="C4" s="97"/>
      <c r="D4" s="97"/>
      <c r="E4" s="97"/>
      <c r="F4" s="97"/>
      <c r="G4" s="97"/>
      <c r="H4" s="97"/>
      <c r="I4" s="63"/>
      <c r="J4" s="59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</row>
    <row r="5" spans="1:35" ht="32.25" customHeight="1" thickBot="1">
      <c r="A5" s="191"/>
      <c r="B5" s="58"/>
      <c r="C5" s="403" t="s">
        <v>35</v>
      </c>
      <c r="D5" s="403"/>
      <c r="E5" s="403"/>
      <c r="F5" s="98"/>
      <c r="G5" s="27">
        <f>IF(O27&gt;0,O27,15)</f>
        <v>14.973262032085557</v>
      </c>
      <c r="H5" s="63"/>
      <c r="I5" s="114">
        <f>(G5*Q8)</f>
        <v>25454.54545454545</v>
      </c>
      <c r="J5" s="59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</row>
    <row r="6" spans="1:35" ht="28.5" customHeight="1">
      <c r="A6" s="191"/>
      <c r="B6" s="58"/>
      <c r="C6" s="64"/>
      <c r="D6" s="102"/>
      <c r="E6" s="63"/>
      <c r="F6" s="63"/>
      <c r="G6" s="63"/>
      <c r="H6" s="63"/>
      <c r="I6" s="63"/>
      <c r="J6" s="59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</row>
    <row r="7" spans="1:35" ht="7.5" customHeight="1" thickBot="1">
      <c r="A7" s="191"/>
      <c r="B7" s="58"/>
      <c r="C7" s="64"/>
      <c r="D7" s="102"/>
      <c r="E7" s="63"/>
      <c r="F7" s="63"/>
      <c r="G7" s="63"/>
      <c r="H7" s="63"/>
      <c r="I7" s="63"/>
      <c r="J7" s="59"/>
      <c r="K7" s="191"/>
      <c r="L7" s="253"/>
      <c r="M7" s="253"/>
      <c r="N7" s="253"/>
      <c r="O7" s="253"/>
      <c r="P7" s="253"/>
      <c r="Q7" s="253"/>
      <c r="R7" s="253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</row>
    <row r="8" spans="1:35" ht="24" customHeight="1" thickBot="1">
      <c r="A8" s="191"/>
      <c r="B8" s="58"/>
      <c r="C8" s="405" t="s">
        <v>67</v>
      </c>
      <c r="D8" s="406"/>
      <c r="E8" s="407"/>
      <c r="F8" s="107"/>
      <c r="G8" s="108" t="s">
        <v>81</v>
      </c>
      <c r="H8" s="107"/>
      <c r="I8" s="108" t="s">
        <v>91</v>
      </c>
      <c r="J8" s="59"/>
      <c r="K8" s="192"/>
      <c r="L8" s="253"/>
      <c r="M8" s="396" t="s">
        <v>121</v>
      </c>
      <c r="N8" s="397"/>
      <c r="O8" s="398"/>
      <c r="P8" s="253"/>
      <c r="Q8" s="254">
        <v>1700</v>
      </c>
      <c r="R8" s="253"/>
      <c r="S8" s="192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</row>
    <row r="9" spans="1:35" ht="7.5" customHeight="1">
      <c r="A9" s="191"/>
      <c r="B9" s="58"/>
      <c r="C9" s="67"/>
      <c r="D9" s="67"/>
      <c r="E9" s="66"/>
      <c r="F9" s="67"/>
      <c r="G9" s="66"/>
      <c r="H9" s="67"/>
      <c r="I9" s="103"/>
      <c r="J9" s="68"/>
      <c r="K9" s="193"/>
      <c r="L9" s="253"/>
      <c r="M9" s="253"/>
      <c r="N9" s="253"/>
      <c r="O9" s="253"/>
      <c r="P9" s="253"/>
      <c r="Q9" s="253"/>
      <c r="R9" s="253"/>
      <c r="S9" s="197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</row>
    <row r="10" spans="1:35" ht="18" customHeight="1">
      <c r="A10" s="191"/>
      <c r="B10" s="58"/>
      <c r="C10" s="404" t="s">
        <v>37</v>
      </c>
      <c r="D10" s="404"/>
      <c r="E10" s="404"/>
      <c r="F10" s="99"/>
      <c r="G10" s="77">
        <f>IF($G$5&lt;=49,((($I$5*1.1)/4)/225),IF($G$5&gt;49,((($I$5*1.1)/4)/225),""))</f>
        <v>31.111111111111107</v>
      </c>
      <c r="H10" s="99"/>
      <c r="I10" s="78">
        <f>IF($G$5&lt;=49,((($I$5*1.1)/4)/225)*$G$26,IF($G$5&gt;49,((($I$5*1.1)/4)/225)*$I$26,""))</f>
        <v>684.4444444444443</v>
      </c>
      <c r="J10" s="59"/>
      <c r="K10" s="194"/>
      <c r="L10" s="191"/>
      <c r="M10" s="191"/>
      <c r="N10" s="191"/>
      <c r="O10" s="191"/>
      <c r="P10" s="191"/>
      <c r="Q10" s="191"/>
      <c r="R10" s="191"/>
      <c r="S10" s="194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</row>
    <row r="11" spans="1:35" ht="15" customHeight="1" thickBot="1">
      <c r="A11" s="191"/>
      <c r="B11" s="58"/>
      <c r="C11" s="393"/>
      <c r="D11" s="393"/>
      <c r="E11" s="393"/>
      <c r="F11" s="71"/>
      <c r="G11" s="105" t="s">
        <v>151</v>
      </c>
      <c r="H11" s="71"/>
      <c r="I11" s="104"/>
      <c r="J11" s="73"/>
      <c r="K11" s="194"/>
      <c r="L11" s="191"/>
      <c r="M11" s="191"/>
      <c r="N11" s="191"/>
      <c r="O11" s="191"/>
      <c r="P11" s="191"/>
      <c r="Q11" s="191"/>
      <c r="R11" s="191"/>
      <c r="S11" s="198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</row>
    <row r="12" spans="1:35" ht="15.75" customHeight="1">
      <c r="A12" s="191"/>
      <c r="B12" s="58"/>
      <c r="C12" s="408" t="s">
        <v>38</v>
      </c>
      <c r="D12" s="408"/>
      <c r="E12" s="408"/>
      <c r="F12" s="100"/>
      <c r="G12" s="79">
        <f>IF($G$5&lt;=49,(($I$5*1.1)/4.9)/1000,IF($G$5&gt;49,(($I$5*1.1)/4.9)/1000,""))</f>
        <v>5.714285714285713</v>
      </c>
      <c r="H12" s="100"/>
      <c r="I12" s="80">
        <f>IF($G$5&lt;=49,((($I$5*1.1)/4.9)*$G$27)/1000,IF($G$5&gt;49,((($I$5*1.1)/4.9)*$I$27)/1000,""))</f>
        <v>1257.1428571428569</v>
      </c>
      <c r="J12" s="73"/>
      <c r="K12" s="194"/>
      <c r="L12" s="53"/>
      <c r="M12" s="399" t="s">
        <v>82</v>
      </c>
      <c r="N12" s="399"/>
      <c r="O12" s="399"/>
      <c r="P12" s="56"/>
      <c r="Q12" s="56"/>
      <c r="R12" s="57"/>
      <c r="S12" s="194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</row>
    <row r="13" spans="1:35" ht="15" customHeight="1">
      <c r="A13" s="191"/>
      <c r="B13" s="58"/>
      <c r="C13" s="393"/>
      <c r="D13" s="393"/>
      <c r="E13" s="393"/>
      <c r="F13" s="71"/>
      <c r="G13" s="105">
        <f>(G12*1000)/650</f>
        <v>8.791208791208788</v>
      </c>
      <c r="H13" s="101"/>
      <c r="I13" s="101"/>
      <c r="J13" s="73"/>
      <c r="K13" s="194"/>
      <c r="L13" s="58"/>
      <c r="M13" s="400"/>
      <c r="N13" s="400"/>
      <c r="O13" s="400"/>
      <c r="P13" s="63"/>
      <c r="Q13" s="64"/>
      <c r="R13" s="59"/>
      <c r="S13" s="198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</row>
    <row r="14" spans="1:35" ht="15.75">
      <c r="A14" s="191"/>
      <c r="B14" s="58"/>
      <c r="C14" s="392" t="s">
        <v>65</v>
      </c>
      <c r="D14" s="392"/>
      <c r="E14" s="392"/>
      <c r="F14" s="100"/>
      <c r="G14" s="81">
        <f>IF($G$5&lt;=49,(($I$5*1.15)/1750),IF($G$5&gt;49,(($I$5*1.15)/1750),""))</f>
        <v>16.727272727272723</v>
      </c>
      <c r="H14" s="100"/>
      <c r="I14" s="82">
        <f>IF($G$5&lt;=49,(($I$5*1.15)/1750)*$G$28,IF($G$5&gt;49,(($I$5*1.15)/1750)*$I$28,""))</f>
        <v>1254.5454545454543</v>
      </c>
      <c r="J14" s="73"/>
      <c r="K14" s="194"/>
      <c r="L14" s="65"/>
      <c r="M14" s="401" t="s">
        <v>83</v>
      </c>
      <c r="N14" s="401"/>
      <c r="O14" s="401"/>
      <c r="P14" s="67"/>
      <c r="Q14" s="66"/>
      <c r="R14" s="68"/>
      <c r="S14" s="194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</row>
    <row r="15" spans="1:35" ht="15" customHeight="1">
      <c r="A15" s="191"/>
      <c r="B15" s="58"/>
      <c r="C15" s="393"/>
      <c r="D15" s="393"/>
      <c r="E15" s="393"/>
      <c r="F15" s="71"/>
      <c r="G15" s="70"/>
      <c r="H15" s="71"/>
      <c r="I15" s="70"/>
      <c r="J15" s="73"/>
      <c r="K15" s="194"/>
      <c r="L15" s="58"/>
      <c r="M15" s="45"/>
      <c r="N15" s="70"/>
      <c r="O15" s="40" t="s">
        <v>84</v>
      </c>
      <c r="P15" s="76"/>
      <c r="Q15" s="40" t="s">
        <v>3</v>
      </c>
      <c r="R15" s="59"/>
      <c r="S15" s="198"/>
      <c r="T15" s="191"/>
      <c r="U15" s="351">
        <f>IF($M$15&gt;0,((($M$15/1.1)*4)*225)/$Q$8,0)</f>
        <v>0</v>
      </c>
      <c r="V15" s="351"/>
      <c r="W15" s="35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</row>
    <row r="16" spans="1:35" ht="15.75" customHeight="1">
      <c r="A16" s="191"/>
      <c r="B16" s="58"/>
      <c r="C16" s="394" t="s">
        <v>39</v>
      </c>
      <c r="D16" s="394"/>
      <c r="E16" s="394"/>
      <c r="F16" s="100"/>
      <c r="G16" s="83">
        <f>($I$5*1.1)/1000</f>
        <v>27.999999999999996</v>
      </c>
      <c r="H16" s="100"/>
      <c r="I16" s="84">
        <f>IF($G$5&lt;=49,(($I$5*1.1)*$G$29),IF($G$5&gt;49,(($I$5*1.1)*$I$29),""))</f>
        <v>1987.9999999999995</v>
      </c>
      <c r="J16" s="73"/>
      <c r="K16" s="194"/>
      <c r="L16" s="69"/>
      <c r="M16" s="70"/>
      <c r="N16" s="70"/>
      <c r="O16" s="70"/>
      <c r="P16" s="71"/>
      <c r="Q16" s="72"/>
      <c r="R16" s="73"/>
      <c r="S16" s="194"/>
      <c r="T16" s="191"/>
      <c r="U16" s="351"/>
      <c r="V16" s="351"/>
      <c r="W16" s="35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</row>
    <row r="17" spans="1:35" ht="15" customHeight="1">
      <c r="A17" s="191"/>
      <c r="B17" s="58"/>
      <c r="C17" s="393"/>
      <c r="D17" s="393"/>
      <c r="E17" s="393"/>
      <c r="F17" s="71"/>
      <c r="G17" s="70"/>
      <c r="H17" s="71"/>
      <c r="I17" s="70"/>
      <c r="J17" s="73"/>
      <c r="K17" s="194"/>
      <c r="L17" s="69"/>
      <c r="M17" s="46"/>
      <c r="N17" s="70"/>
      <c r="O17" s="41" t="s">
        <v>85</v>
      </c>
      <c r="P17" s="76"/>
      <c r="Q17" s="41" t="s">
        <v>4</v>
      </c>
      <c r="R17" s="73"/>
      <c r="S17" s="198"/>
      <c r="T17" s="191"/>
      <c r="U17" s="351">
        <f>IF($M$17&gt;0,((($M$17/1.1)*4.9)*1000)/$Q$8,0)</f>
        <v>0</v>
      </c>
      <c r="V17" s="351"/>
      <c r="W17" s="35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</row>
    <row r="18" spans="1:35" ht="15.75" customHeight="1">
      <c r="A18" s="191"/>
      <c r="B18" s="58"/>
      <c r="C18" s="395" t="s">
        <v>40</v>
      </c>
      <c r="D18" s="395"/>
      <c r="E18" s="395"/>
      <c r="F18" s="100"/>
      <c r="G18" s="85">
        <f>($I$5*1.1)/10</f>
        <v>2799.9999999999995</v>
      </c>
      <c r="H18" s="100"/>
      <c r="I18" s="86">
        <f>IF($G$5&lt;=49,((($I$5*1.1)/10)*$G$30),IF($G$5&gt;49,((($I$5*1.1)/10)*$I$30),""))</f>
        <v>2659.9999999999995</v>
      </c>
      <c r="J18" s="73"/>
      <c r="K18" s="194"/>
      <c r="L18" s="69"/>
      <c r="M18" s="70"/>
      <c r="N18" s="70"/>
      <c r="O18" s="70"/>
      <c r="P18" s="71"/>
      <c r="Q18" s="72"/>
      <c r="R18" s="73"/>
      <c r="S18" s="194"/>
      <c r="T18" s="191"/>
      <c r="U18" s="351"/>
      <c r="V18" s="351"/>
      <c r="W18" s="35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</row>
    <row r="19" spans="1:35" ht="15" customHeight="1">
      <c r="A19" s="191"/>
      <c r="B19" s="58"/>
      <c r="C19" s="393"/>
      <c r="D19" s="393"/>
      <c r="E19" s="393"/>
      <c r="F19" s="71"/>
      <c r="G19" s="70"/>
      <c r="H19" s="71"/>
      <c r="I19" s="70"/>
      <c r="J19" s="73"/>
      <c r="K19" s="194"/>
      <c r="L19" s="69"/>
      <c r="M19" s="47"/>
      <c r="N19" s="70"/>
      <c r="O19" s="42" t="s">
        <v>86</v>
      </c>
      <c r="P19" s="76"/>
      <c r="Q19" s="42" t="s">
        <v>65</v>
      </c>
      <c r="R19" s="73"/>
      <c r="S19" s="198"/>
      <c r="T19" s="191"/>
      <c r="U19" s="351">
        <f>IF($M$19&gt;0,(($M$19/1.1)*1750)/$Q$8,0)</f>
        <v>0</v>
      </c>
      <c r="V19" s="351"/>
      <c r="W19" s="35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</row>
    <row r="20" spans="1:35" ht="15.75" customHeight="1">
      <c r="A20" s="191"/>
      <c r="B20" s="58"/>
      <c r="C20" s="382" t="s">
        <v>41</v>
      </c>
      <c r="D20" s="382"/>
      <c r="E20" s="382"/>
      <c r="F20" s="100"/>
      <c r="G20" s="110">
        <f>IF($G$5&gt;0,(($I$5/1)/Grunddaten!H38),"")</f>
        <v>7954.545454545452</v>
      </c>
      <c r="H20" s="100"/>
      <c r="I20" s="111">
        <f>IF($G$5&lt;49.5,($I$5/Grunddaten!H38)*$G$31,IF($G$5&gt;49.5,($I$5/Grunddaten!H38)*$I$31,""))</f>
        <v>1749.9999999999995</v>
      </c>
      <c r="J20" s="73"/>
      <c r="K20" s="194"/>
      <c r="L20" s="69"/>
      <c r="M20" s="70"/>
      <c r="N20" s="70"/>
      <c r="O20" s="70"/>
      <c r="P20" s="71"/>
      <c r="Q20" s="72"/>
      <c r="R20" s="73"/>
      <c r="S20" s="194"/>
      <c r="T20" s="191"/>
      <c r="U20" s="351"/>
      <c r="V20" s="351"/>
      <c r="W20" s="35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</row>
    <row r="21" spans="1:35" ht="15.75" customHeight="1" thickBot="1">
      <c r="A21" s="191"/>
      <c r="B21" s="60"/>
      <c r="C21" s="383"/>
      <c r="D21" s="383"/>
      <c r="E21" s="383"/>
      <c r="F21" s="61"/>
      <c r="G21" s="106">
        <f>G5*20</f>
        <v>299.46524064171115</v>
      </c>
      <c r="H21" s="61"/>
      <c r="I21" s="61"/>
      <c r="J21" s="62"/>
      <c r="K21" s="195"/>
      <c r="L21" s="69"/>
      <c r="M21" s="48"/>
      <c r="N21" s="70"/>
      <c r="O21" s="43" t="s">
        <v>87</v>
      </c>
      <c r="P21" s="76"/>
      <c r="Q21" s="43" t="s">
        <v>13</v>
      </c>
      <c r="R21" s="73"/>
      <c r="S21" s="198"/>
      <c r="T21" s="191"/>
      <c r="U21" s="351">
        <f>IF($M$21&gt;0,(($M$21/1.1)*1000)/$Q$8,0)</f>
        <v>0</v>
      </c>
      <c r="V21" s="351"/>
      <c r="W21" s="35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</row>
    <row r="22" spans="1:35" ht="12.75" customHeight="1">
      <c r="A22" s="191"/>
      <c r="B22" s="191"/>
      <c r="C22" s="196"/>
      <c r="D22" s="196"/>
      <c r="E22" s="196"/>
      <c r="F22" s="191"/>
      <c r="G22" s="191"/>
      <c r="H22" s="191"/>
      <c r="I22" s="191"/>
      <c r="J22" s="191"/>
      <c r="K22" s="191"/>
      <c r="L22" s="69"/>
      <c r="M22" s="70"/>
      <c r="N22" s="70"/>
      <c r="O22" s="70"/>
      <c r="P22" s="71"/>
      <c r="Q22" s="72"/>
      <c r="R22" s="73"/>
      <c r="S22" s="191"/>
      <c r="T22" s="191"/>
      <c r="U22" s="351"/>
      <c r="V22" s="351"/>
      <c r="W22" s="35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</row>
    <row r="23" spans="1:35" ht="13.5" customHeight="1" thickBo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69"/>
      <c r="M23" s="49">
        <v>2800</v>
      </c>
      <c r="N23" s="70"/>
      <c r="O23" s="44" t="s">
        <v>88</v>
      </c>
      <c r="P23" s="76"/>
      <c r="Q23" s="44" t="s">
        <v>5</v>
      </c>
      <c r="R23" s="73"/>
      <c r="S23" s="191"/>
      <c r="T23" s="191"/>
      <c r="U23" s="351">
        <f>IF($M$23&gt;0,(($M$23/1.1)*10)/$Q$8,0)</f>
        <v>14.973262032085557</v>
      </c>
      <c r="V23" s="351"/>
      <c r="W23" s="35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</row>
    <row r="24" spans="1:35" ht="12" customHeight="1" thickBot="1">
      <c r="A24" s="191"/>
      <c r="B24" s="53"/>
      <c r="C24" s="54"/>
      <c r="D24" s="55"/>
      <c r="E24" s="55"/>
      <c r="F24" s="55"/>
      <c r="G24" s="55"/>
      <c r="H24" s="56"/>
      <c r="I24" s="56"/>
      <c r="J24" s="57"/>
      <c r="K24" s="191"/>
      <c r="L24" s="69"/>
      <c r="M24" s="70"/>
      <c r="N24" s="70"/>
      <c r="O24" s="70"/>
      <c r="P24" s="71"/>
      <c r="Q24" s="72"/>
      <c r="R24" s="73"/>
      <c r="S24" s="191"/>
      <c r="T24" s="191"/>
      <c r="U24" s="351"/>
      <c r="V24" s="351"/>
      <c r="W24" s="35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</row>
    <row r="25" spans="1:35" ht="15.75" customHeight="1" thickBot="1">
      <c r="A25" s="191"/>
      <c r="B25" s="58"/>
      <c r="C25" s="384" t="s">
        <v>92</v>
      </c>
      <c r="D25" s="385"/>
      <c r="E25" s="386"/>
      <c r="F25" s="50"/>
      <c r="G25" s="109" t="s">
        <v>50</v>
      </c>
      <c r="H25" s="50"/>
      <c r="I25" s="109" t="s">
        <v>51</v>
      </c>
      <c r="J25" s="59"/>
      <c r="K25" s="191"/>
      <c r="L25" s="58"/>
      <c r="M25" s="112"/>
      <c r="N25" s="70"/>
      <c r="O25" s="113" t="s">
        <v>89</v>
      </c>
      <c r="P25" s="76"/>
      <c r="Q25" s="113" t="s">
        <v>6</v>
      </c>
      <c r="R25" s="59"/>
      <c r="S25" s="199"/>
      <c r="T25" s="191"/>
      <c r="U25" s="351">
        <f>IF($M$25&gt;0,($M$25*3.05)/$Q$8,0)</f>
        <v>0</v>
      </c>
      <c r="V25" s="351"/>
      <c r="W25" s="35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</row>
    <row r="26" spans="1:35" ht="16.5" customHeight="1">
      <c r="A26" s="191"/>
      <c r="B26" s="58"/>
      <c r="C26" s="379" t="s">
        <v>49</v>
      </c>
      <c r="D26" s="379"/>
      <c r="E26" s="379"/>
      <c r="F26" s="51"/>
      <c r="G26" s="162">
        <v>22</v>
      </c>
      <c r="H26" s="50"/>
      <c r="I26" s="162">
        <v>21</v>
      </c>
      <c r="J26" s="59"/>
      <c r="K26" s="191"/>
      <c r="L26" s="58"/>
      <c r="M26" s="63"/>
      <c r="N26" s="63"/>
      <c r="O26" s="74"/>
      <c r="P26" s="75"/>
      <c r="Q26" s="75"/>
      <c r="R26" s="59"/>
      <c r="S26" s="199"/>
      <c r="T26" s="191"/>
      <c r="U26" s="351"/>
      <c r="V26" s="351"/>
      <c r="W26" s="35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</row>
    <row r="27" spans="1:35" ht="17.25" customHeight="1">
      <c r="A27" s="191"/>
      <c r="B27" s="58"/>
      <c r="C27" s="380" t="s">
        <v>48</v>
      </c>
      <c r="D27" s="380"/>
      <c r="E27" s="380"/>
      <c r="F27" s="51"/>
      <c r="G27" s="163">
        <v>220</v>
      </c>
      <c r="H27" s="50"/>
      <c r="I27" s="163">
        <v>205</v>
      </c>
      <c r="J27" s="59"/>
      <c r="K27" s="191"/>
      <c r="L27" s="58"/>
      <c r="M27" s="389" t="s">
        <v>90</v>
      </c>
      <c r="N27" s="63"/>
      <c r="O27" s="377">
        <f>U15+U17+U19+U21+U23+U25</f>
        <v>14.973262032085557</v>
      </c>
      <c r="P27" s="377"/>
      <c r="Q27" s="377"/>
      <c r="R27" s="59"/>
      <c r="S27" s="199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</row>
    <row r="28" spans="1:35" ht="17.25" customHeight="1" thickBot="1">
      <c r="A28" s="191"/>
      <c r="B28" s="58"/>
      <c r="C28" s="381" t="s">
        <v>70</v>
      </c>
      <c r="D28" s="381"/>
      <c r="E28" s="381"/>
      <c r="F28" s="51"/>
      <c r="G28" s="164">
        <v>75</v>
      </c>
      <c r="H28" s="50"/>
      <c r="I28" s="164">
        <v>68</v>
      </c>
      <c r="J28" s="59"/>
      <c r="K28" s="191"/>
      <c r="L28" s="60"/>
      <c r="M28" s="390"/>
      <c r="N28" s="61"/>
      <c r="O28" s="378"/>
      <c r="P28" s="378"/>
      <c r="Q28" s="378"/>
      <c r="R28" s="62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</row>
    <row r="29" spans="1:35" ht="17.25" customHeight="1">
      <c r="A29" s="191"/>
      <c r="B29" s="58"/>
      <c r="C29" s="388" t="s">
        <v>80</v>
      </c>
      <c r="D29" s="388"/>
      <c r="E29" s="388"/>
      <c r="F29" s="51"/>
      <c r="G29" s="165">
        <v>0.071</v>
      </c>
      <c r="H29" s="50"/>
      <c r="I29" s="165">
        <v>0.068</v>
      </c>
      <c r="J29" s="59"/>
      <c r="K29" s="191"/>
      <c r="L29" s="191"/>
      <c r="M29" s="191"/>
      <c r="N29" s="191"/>
      <c r="O29" s="191"/>
      <c r="P29" s="191"/>
      <c r="Q29" s="191"/>
      <c r="R29" s="191"/>
      <c r="S29" s="200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</row>
    <row r="30" spans="1:35" ht="17.25" customHeight="1">
      <c r="A30" s="191"/>
      <c r="B30" s="58"/>
      <c r="C30" s="391" t="s">
        <v>52</v>
      </c>
      <c r="D30" s="391"/>
      <c r="E30" s="391"/>
      <c r="F30" s="51"/>
      <c r="G30" s="166">
        <v>0.95</v>
      </c>
      <c r="H30" s="50"/>
      <c r="I30" s="166">
        <v>0.85</v>
      </c>
      <c r="J30" s="59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</row>
    <row r="31" spans="1:35" ht="17.25" customHeight="1">
      <c r="A31" s="191"/>
      <c r="B31" s="58"/>
      <c r="C31" s="387" t="s">
        <v>58</v>
      </c>
      <c r="D31" s="387"/>
      <c r="E31" s="387"/>
      <c r="F31" s="52"/>
      <c r="G31" s="167">
        <v>0.22</v>
      </c>
      <c r="H31" s="50"/>
      <c r="I31" s="167">
        <v>0.153</v>
      </c>
      <c r="J31" s="59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</row>
    <row r="32" spans="1:35" ht="9.75" customHeight="1" thickBot="1">
      <c r="A32" s="191"/>
      <c r="B32" s="60"/>
      <c r="C32" s="61"/>
      <c r="D32" s="61"/>
      <c r="E32" s="61"/>
      <c r="F32" s="61"/>
      <c r="G32" s="61"/>
      <c r="H32" s="61"/>
      <c r="I32" s="61"/>
      <c r="J32" s="62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</row>
    <row r="33" spans="1:35" ht="18" customHeight="1">
      <c r="A33" s="191"/>
      <c r="B33" s="191"/>
      <c r="C33" s="230" t="s">
        <v>114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</row>
    <row r="34" spans="1:35" ht="12.75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</row>
    <row r="35" spans="1:35" ht="21.75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</row>
    <row r="36" spans="1:35" ht="23.2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</row>
    <row r="37" spans="1:35" ht="12.7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</row>
    <row r="38" spans="1:35" ht="12.7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</row>
    <row r="40" spans="1:35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</row>
    <row r="41" spans="1:35" ht="12.7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</row>
    <row r="42" spans="1:35" ht="12.7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</row>
    <row r="43" spans="1:35" ht="12.7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</row>
    <row r="44" spans="1:35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</row>
    <row r="45" spans="1:35" ht="12.7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</row>
    <row r="46" spans="1:35" ht="12.7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</row>
    <row r="47" spans="1:35" ht="12.7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</row>
    <row r="48" spans="1:35" ht="12.7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</row>
    <row r="49" spans="1:35" ht="12.7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</row>
    <row r="50" spans="1:35" ht="12.7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</row>
    <row r="51" spans="1:35" ht="12.7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</row>
    <row r="52" spans="1:35" ht="12.7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</row>
    <row r="53" spans="1:35" ht="12.7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</row>
    <row r="54" spans="1:35" ht="12.7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</row>
    <row r="55" spans="1:35" ht="12.7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</row>
    <row r="56" spans="1:35" ht="12.7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</row>
    <row r="57" spans="1:35" ht="12.7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</row>
    <row r="58" spans="1:35" ht="12.75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</row>
    <row r="59" spans="1:35" ht="12.7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</row>
    <row r="60" spans="1:35" ht="12.7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</row>
    <row r="61" spans="1:35" ht="12.75">
      <c r="A61" s="191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</row>
  </sheetData>
  <sheetProtection password="EF7E" sheet="1" objects="1" scenarios="1" selectLockedCells="1"/>
  <mergeCells count="27">
    <mergeCell ref="M8:O8"/>
    <mergeCell ref="M12:O13"/>
    <mergeCell ref="M14:O14"/>
    <mergeCell ref="C2:G2"/>
    <mergeCell ref="C5:E5"/>
    <mergeCell ref="C10:E10"/>
    <mergeCell ref="C8:E8"/>
    <mergeCell ref="C11:E11"/>
    <mergeCell ref="C12:E12"/>
    <mergeCell ref="C13:E13"/>
    <mergeCell ref="C31:E31"/>
    <mergeCell ref="C29:E29"/>
    <mergeCell ref="M27:M28"/>
    <mergeCell ref="C30:E30"/>
    <mergeCell ref="C14:E14"/>
    <mergeCell ref="C15:E15"/>
    <mergeCell ref="C16:E16"/>
    <mergeCell ref="C17:E17"/>
    <mergeCell ref="C18:E18"/>
    <mergeCell ref="C19:E19"/>
    <mergeCell ref="O27:Q28"/>
    <mergeCell ref="C26:E26"/>
    <mergeCell ref="C27:E27"/>
    <mergeCell ref="C28:E28"/>
    <mergeCell ref="C20:E20"/>
    <mergeCell ref="C21:E21"/>
    <mergeCell ref="C25:E25"/>
  </mergeCells>
  <printOptions/>
  <pageMargins left="0.35433070866141736" right="0" top="0.47" bottom="0" header="0" footer="0"/>
  <pageSetup horizontalDpi="300" verticalDpi="300" orientation="landscape" paperSize="9" scale="90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0"/>
  <sheetViews>
    <sheetView zoomScale="104" zoomScaleNormal="104" zoomScalePageLayoutView="0" workbookViewId="0" topLeftCell="A1">
      <selection activeCell="Q29" sqref="Q29"/>
    </sheetView>
  </sheetViews>
  <sheetFormatPr defaultColWidth="11.421875" defaultRowHeight="12.75"/>
  <cols>
    <col min="1" max="1" width="1.28515625" style="28" customWidth="1"/>
    <col min="2" max="2" width="1.7109375" style="28" customWidth="1"/>
    <col min="3" max="3" width="15.7109375" style="28" customWidth="1"/>
    <col min="4" max="4" width="0.9921875" style="28" customWidth="1"/>
    <col min="5" max="5" width="17.421875" style="28" customWidth="1"/>
    <col min="6" max="6" width="1.1484375" style="28" customWidth="1"/>
    <col min="7" max="7" width="14.7109375" style="28" customWidth="1"/>
    <col min="8" max="8" width="1.1484375" style="28" customWidth="1"/>
    <col min="9" max="9" width="18.00390625" style="28" customWidth="1"/>
    <col min="10" max="10" width="1.1484375" style="28" customWidth="1"/>
    <col min="11" max="11" width="20.7109375" style="28" customWidth="1"/>
    <col min="12" max="12" width="1.1484375" style="28" customWidth="1"/>
    <col min="13" max="13" width="16.7109375" style="28" customWidth="1"/>
    <col min="14" max="14" width="1.1484375" style="28" customWidth="1"/>
    <col min="15" max="15" width="16.421875" style="28" customWidth="1"/>
    <col min="16" max="16" width="1.1484375" style="28" customWidth="1"/>
    <col min="17" max="17" width="11.421875" style="28" customWidth="1"/>
    <col min="18" max="18" width="0.9921875" style="28" customWidth="1"/>
    <col min="19" max="19" width="10.7109375" style="28" customWidth="1"/>
    <col min="20" max="20" width="1.1484375" style="28" customWidth="1"/>
    <col min="21" max="21" width="9.7109375" style="28" customWidth="1"/>
    <col min="22" max="22" width="1.7109375" style="28" customWidth="1"/>
    <col min="23" max="27" width="11.421875" style="28" customWidth="1"/>
    <col min="28" max="28" width="14.7109375" style="28" customWidth="1"/>
    <col min="29" max="29" width="10.00390625" style="28" customWidth="1"/>
    <col min="30" max="30" width="12.28125" style="28" customWidth="1"/>
    <col min="31" max="16384" width="11.421875" style="28" customWidth="1"/>
  </cols>
  <sheetData>
    <row r="1" spans="1:35" ht="12.75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</row>
    <row r="2" spans="1:35" ht="42.75" customHeight="1">
      <c r="A2" s="191"/>
      <c r="B2" s="191"/>
      <c r="C2" s="412" t="s">
        <v>107</v>
      </c>
      <c r="D2" s="412"/>
      <c r="E2" s="412"/>
      <c r="F2" s="412"/>
      <c r="G2" s="412"/>
      <c r="H2" s="412"/>
      <c r="I2" s="412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</row>
    <row r="3" spans="1:35" ht="39" customHeight="1" thickBot="1">
      <c r="A3" s="191"/>
      <c r="B3" s="191"/>
      <c r="C3" s="201"/>
      <c r="D3" s="201"/>
      <c r="E3" s="201"/>
      <c r="F3" s="201"/>
      <c r="G3" s="201"/>
      <c r="H3" s="20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</row>
    <row r="4" spans="1:35" ht="32.25" customHeight="1" thickBot="1">
      <c r="A4" s="191"/>
      <c r="B4" s="191"/>
      <c r="C4" s="413" t="s">
        <v>128</v>
      </c>
      <c r="D4" s="413"/>
      <c r="E4" s="413"/>
      <c r="F4" s="95"/>
      <c r="G4" s="252">
        <f>Heizkosten!G5</f>
        <v>14.973262032085557</v>
      </c>
      <c r="H4" s="94"/>
      <c r="I4" s="255">
        <f>Heizkosten!I5</f>
        <v>25454.54545454545</v>
      </c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</row>
    <row r="5" spans="1:35" ht="18.75" customHeight="1" thickBot="1">
      <c r="A5" s="191"/>
      <c r="B5" s="191"/>
      <c r="C5" s="202"/>
      <c r="D5" s="202"/>
      <c r="E5" s="202"/>
      <c r="F5" s="203"/>
      <c r="G5" s="231"/>
      <c r="H5" s="191"/>
      <c r="I5" s="204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</row>
    <row r="6" spans="1:35" ht="9" customHeight="1" thickBot="1">
      <c r="A6" s="191"/>
      <c r="B6" s="53"/>
      <c r="C6" s="115"/>
      <c r="D6" s="11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</row>
    <row r="7" spans="1:35" ht="24" customHeight="1">
      <c r="A7" s="191"/>
      <c r="B7" s="58"/>
      <c r="C7" s="29" t="s">
        <v>67</v>
      </c>
      <c r="D7" s="102"/>
      <c r="E7" s="119" t="s">
        <v>42</v>
      </c>
      <c r="F7" s="63"/>
      <c r="G7" s="121" t="s">
        <v>30</v>
      </c>
      <c r="H7" s="63"/>
      <c r="I7" s="121" t="s">
        <v>31</v>
      </c>
      <c r="J7" s="63"/>
      <c r="K7" s="119" t="s">
        <v>32</v>
      </c>
      <c r="L7" s="63"/>
      <c r="M7" s="119" t="s">
        <v>34</v>
      </c>
      <c r="N7" s="63"/>
      <c r="O7" s="29" t="s">
        <v>33</v>
      </c>
      <c r="P7" s="63"/>
      <c r="Q7" s="415" t="s">
        <v>68</v>
      </c>
      <c r="R7" s="415"/>
      <c r="S7" s="415"/>
      <c r="T7" s="63"/>
      <c r="U7" s="416" t="s">
        <v>125</v>
      </c>
      <c r="V7" s="59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</row>
    <row r="8" spans="1:35" ht="15" customHeight="1">
      <c r="A8" s="191"/>
      <c r="B8" s="58"/>
      <c r="C8" s="30"/>
      <c r="D8" s="67"/>
      <c r="E8" s="120" t="s">
        <v>8</v>
      </c>
      <c r="F8" s="67"/>
      <c r="G8" s="120" t="s">
        <v>43</v>
      </c>
      <c r="H8" s="67"/>
      <c r="I8" s="122" t="s">
        <v>46</v>
      </c>
      <c r="J8" s="67"/>
      <c r="K8" s="120" t="s">
        <v>44</v>
      </c>
      <c r="L8" s="67"/>
      <c r="M8" s="120" t="s">
        <v>45</v>
      </c>
      <c r="N8" s="67"/>
      <c r="O8" s="31"/>
      <c r="P8" s="67"/>
      <c r="Q8" s="160"/>
      <c r="R8" s="160"/>
      <c r="S8" s="161"/>
      <c r="T8" s="63"/>
      <c r="U8" s="416"/>
      <c r="V8" s="59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</row>
    <row r="9" spans="1:35" ht="9" customHeight="1">
      <c r="A9" s="191"/>
      <c r="B9" s="58"/>
      <c r="C9" s="128"/>
      <c r="D9" s="67"/>
      <c r="E9" s="66"/>
      <c r="F9" s="67"/>
      <c r="G9" s="66"/>
      <c r="H9" s="67"/>
      <c r="I9" s="103"/>
      <c r="J9" s="67"/>
      <c r="K9" s="66"/>
      <c r="L9" s="67"/>
      <c r="M9" s="66"/>
      <c r="N9" s="67"/>
      <c r="O9" s="129"/>
      <c r="P9" s="67"/>
      <c r="Q9" s="66"/>
      <c r="R9" s="66"/>
      <c r="S9" s="63"/>
      <c r="T9" s="63"/>
      <c r="U9" s="63"/>
      <c r="V9" s="59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</row>
    <row r="10" spans="1:35" ht="15" customHeight="1">
      <c r="A10" s="191"/>
      <c r="B10" s="58"/>
      <c r="C10" s="32" t="s">
        <v>37</v>
      </c>
      <c r="D10" s="267"/>
      <c r="E10" s="268">
        <f>IF($G$4&lt;17,(($K$28-$K$34+$Q$34)/20),IF($G$4&lt;39,(($M$28-$K$34+$Q$34)/20),IF($G$4&lt;56,(($O$28-$K$34+$Q$34)/20),IF($G$4&lt;110,(($Q$28-$K$34+$Q$34)/20),IF($G$4&lt;210,(($S$28-$K$34+$Q$34)/20),IF($G$4&lt;320,((($S$28+$Q$28)-$K$34+$Q$34)/20),IF($G$4&lt;420,((($U$28)-$K$34+$Q$34)/20),"")))))))</f>
        <v>825</v>
      </c>
      <c r="F10" s="267"/>
      <c r="G10" s="268">
        <f>IF($G$4&lt;17,Grunddaten!$C$4,IF($G$4&lt;39,Grunddaten!$C$11,IF($G$4&lt;56,Grunddaten!$C$18,IF($G$4&lt;110,Grunddaten!$C$25,IF($G$4&lt;210,Grunddaten!$C$32,IF($G$4&lt;320,(Grunddaten!$C$32+Grunddaten!$C$18),IF($G$4&lt;420,(Grunddaten!$C$32*2),"")))))))</f>
        <v>216</v>
      </c>
      <c r="H10" s="267"/>
      <c r="I10" s="268">
        <f>IF($G$4&lt;17,($K$28/150),IF($G$4&lt;39,($M$28/150),IF($G$4&lt;56,($O$28/150),IF($G$4&lt;101,($Q$28/150),IF($G$4&lt;201,($S$28/150),IF($G$4&lt;330,(($S$28/150)+($Q$28/150)),IF($G$4&lt;420,(($S$28/150)*2),"")))))))</f>
        <v>110</v>
      </c>
      <c r="J10" s="267"/>
      <c r="K10" s="268">
        <f>IF($G$4&lt;17,Grunddaten!$C$5,IF($G$4&lt;39,Grunddaten!$C$12,IF($G$4&lt;56,Grunddaten!$C$19,IF($G$4&lt;101,Grunddaten!$C$26,IF($G$4&lt;201,Grunddaten!$C$33,IF($G$4&lt;330,(Grunddaten!$C$33+Grunddaten!$C$19),IF($G$4&lt;420,(Grunddaten!$C$33*2),"")))))))</f>
        <v>130</v>
      </c>
      <c r="L10" s="267"/>
      <c r="M10" s="268">
        <f>IF($G$4&lt;17,Grunddaten!$C$6,IF($G$4&lt;39,Grunddaten!$C$13,IF($G$4&lt;56,Grunddaten!$C$20,IF($G$4&lt;101,Grunddaten!$C$27,IF($G$4&lt;201,Grunddaten!$C$34,IF($G$4&lt;330,(Grunddaten!$C$34+Grunddaten!$C$20),IF($G$4&lt;420,(Grunddaten!$C$34*2),"")))))))</f>
        <v>31</v>
      </c>
      <c r="N10" s="267"/>
      <c r="O10" s="33">
        <f>Heizkosten!I10</f>
        <v>684.4444444444443</v>
      </c>
      <c r="P10" s="267"/>
      <c r="Q10" s="414">
        <f>E10+G10+I10+K10+O10+M10</f>
        <v>1996.4444444444443</v>
      </c>
      <c r="R10" s="414"/>
      <c r="S10" s="414"/>
      <c r="T10" s="267"/>
      <c r="U10" s="269">
        <f>Q10/$I$4</f>
        <v>0.07843174603174605</v>
      </c>
      <c r="V10" s="59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</row>
    <row r="11" spans="1:35" ht="15" customHeight="1">
      <c r="A11" s="191"/>
      <c r="B11" s="58"/>
      <c r="C11" s="152" t="s">
        <v>115</v>
      </c>
      <c r="D11" s="71"/>
      <c r="E11" s="70"/>
      <c r="F11" s="71"/>
      <c r="G11" s="70"/>
      <c r="H11" s="71"/>
      <c r="I11" s="104" t="s">
        <v>116</v>
      </c>
      <c r="J11" s="71"/>
      <c r="K11" s="70"/>
      <c r="L11" s="71"/>
      <c r="M11" s="70"/>
      <c r="N11" s="71"/>
      <c r="O11" s="154">
        <f>Heizkosten!G10</f>
        <v>31.111111111111107</v>
      </c>
      <c r="P11" s="71"/>
      <c r="Q11" s="409">
        <f>Q10-Grunddaten!$B$36</f>
        <v>-1480.0555555555552</v>
      </c>
      <c r="R11" s="409"/>
      <c r="S11" s="409"/>
      <c r="T11" s="63"/>
      <c r="U11" s="63"/>
      <c r="V11" s="59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</row>
    <row r="12" spans="1:35" ht="15">
      <c r="A12" s="191"/>
      <c r="B12" s="58"/>
      <c r="C12" s="34" t="s">
        <v>38</v>
      </c>
      <c r="D12" s="117"/>
      <c r="E12" s="270">
        <f>IF($G$4&lt;17,(($K$29-$K$34+$Q$35)/20),IF($G$4&lt;39,(($M$29-$K$34+$Q$35)/20),IF($G$4&lt;56,(($O$29-$K$34+$Q$35)/20),IF($G$4&lt;110,(($Q$29-$K$34+$Q$35)/20),IF($G$4&lt;210,(($S$29-$K$34+$Q$35)/20),IF($G$4&lt;320,((($S$29+$Q$29)-$K$34+$Q$35)/20),IF($G$4&lt;420,((($U$29)-$K$34+$Q$35)/20),"")))))))</f>
        <v>750</v>
      </c>
      <c r="F12" s="117"/>
      <c r="G12" s="270">
        <f>IF($G$4&lt;17,Grunddaten!$E$4,IF($G$4&lt;39,Grunddaten!$E$11,IF($G$4&lt;56,Grunddaten!$E$18,IF($G$4&lt;110,Grunddaten!$E$25,IF($G$4&lt;210,Grunddaten!$E$32,IF($G$4&lt;320,(Grunddaten!$E$32+Grunddaten!$E$18),IF($G$4&lt;420,(Grunddaten!$E$32*2),"")))))))</f>
        <v>180</v>
      </c>
      <c r="H12" s="117"/>
      <c r="I12" s="270">
        <f>IF($G$4&lt;17,($K$29/200),IF($G$4&lt;39,($M$29/200),IF($G$4&lt;56,($O$29/200),IF($G$4&lt;101,($Q$29/200),IF($G$4&lt;201,($S$29/200),IF($G$4&lt;330,(($S$29/200)+($Q$29/200)),IF($G$4&lt;420,(($S$29/200)*2),"")))))))</f>
        <v>75</v>
      </c>
      <c r="J12" s="117"/>
      <c r="K12" s="270">
        <f>IF($G$4&lt;17,Grunddaten!$E$5,IF($G$4&lt;39,Grunddaten!$E$12,IF($G$4&lt;56,Grunddaten!$E$19,IF($G$4&lt;101,Grunddaten!$E$26,IF($G$4&lt;201,Grunddaten!$E$33,IF($G$4&lt;330,(Grunddaten!$E$33+Grunddaten!$E$19),IF($G$4&lt;420,(Grunddaten!$E$33*2),"")))))))</f>
        <v>90</v>
      </c>
      <c r="L12" s="117"/>
      <c r="M12" s="270">
        <f>IF($G$4&lt;17,Grunddaten!$E$6,IF($G$4&lt;39,Grunddaten!$E$13,IF($G$4&lt;56,Grunddaten!$E$20,IF($G$4&lt;101,Grunddaten!$E$27,IF($G$4&lt;201,Grunddaten!$E$34,IF($G$4&lt;330,(Grunddaten!$E$34+Grunddaten!$E$20),IF($G$4&lt;420,(Grunddaten!$E$34*2),"")))))))</f>
        <v>31</v>
      </c>
      <c r="N12" s="117"/>
      <c r="O12" s="87">
        <f>Heizkosten!I12</f>
        <v>1257.1428571428569</v>
      </c>
      <c r="P12" s="117"/>
      <c r="Q12" s="426">
        <f>E12+G12+I12+K12+O12+M12</f>
        <v>2383.142857142857</v>
      </c>
      <c r="R12" s="426"/>
      <c r="S12" s="426"/>
      <c r="T12" s="267"/>
      <c r="U12" s="271">
        <f>Q12/$I$4</f>
        <v>0.09362346938775512</v>
      </c>
      <c r="V12" s="59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</row>
    <row r="13" spans="1:35" ht="15" customHeight="1">
      <c r="A13" s="191"/>
      <c r="B13" s="58"/>
      <c r="C13" s="152" t="s">
        <v>115</v>
      </c>
      <c r="D13" s="71"/>
      <c r="E13" s="70"/>
      <c r="F13" s="71"/>
      <c r="G13" s="70"/>
      <c r="H13" s="71"/>
      <c r="I13" s="70"/>
      <c r="J13" s="71"/>
      <c r="K13" s="70"/>
      <c r="L13" s="71"/>
      <c r="M13" s="70"/>
      <c r="N13" s="71"/>
      <c r="O13" s="155">
        <f>Heizkosten!G12</f>
        <v>5.714285714285713</v>
      </c>
      <c r="P13" s="71"/>
      <c r="Q13" s="409">
        <f>Q12-Grunddaten!$B$36</f>
        <v>-1093.3571428571427</v>
      </c>
      <c r="R13" s="409"/>
      <c r="S13" s="409"/>
      <c r="T13" s="63"/>
      <c r="U13" s="63"/>
      <c r="V13" s="59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</row>
    <row r="14" spans="1:35" ht="15">
      <c r="A14" s="191"/>
      <c r="B14" s="58"/>
      <c r="C14" s="36" t="s">
        <v>65</v>
      </c>
      <c r="D14" s="117"/>
      <c r="E14" s="272">
        <f>IF($G$4&lt;17,($K$30/20),IF($G$4&lt;39,($M$30/20),IF($G$4&lt;56,($O$30/20),IF($G$4&lt;110,($Q$30/20),""))))</f>
        <v>650</v>
      </c>
      <c r="F14" s="117"/>
      <c r="G14" s="272">
        <f>IF($G$4&lt;17,Grunddaten!$C$4,IF($G$4&lt;39,Grunddaten!$C$11,IF($G$4&lt;56,Grunddaten!$C$18,IF($G$4&lt;101,Grunddaten!$C$25,""))))</f>
        <v>216</v>
      </c>
      <c r="H14" s="117"/>
      <c r="I14" s="272">
        <f>IF($G$4&lt;17,($K$30/200),IF($G$4&lt;39,($M$30/200),IF($G$4&lt;56,($O$30/200),IF($G$4&lt;110,($Q$30/200),""))))</f>
        <v>65</v>
      </c>
      <c r="J14" s="117"/>
      <c r="K14" s="272">
        <f>IF($G$4&lt;17,Grunddaten!$G$5,IF($G$4&lt;39,Grunddaten!$G$12,IF($G$4&lt;56,Grunddaten!$G$19,IF($G$4&lt;101,Grunddaten!$G$26,""))))</f>
        <v>90</v>
      </c>
      <c r="L14" s="117"/>
      <c r="M14" s="272">
        <f>IF($G$4&lt;17,Grunddaten!$G$6,IF($G$4&lt;39,Grunddaten!$G$13,IF($G$4&lt;56,Grunddaten!$G$20,IF($G$4&lt;101,Grunddaten!$G$27,""))))</f>
        <v>31</v>
      </c>
      <c r="N14" s="117"/>
      <c r="O14" s="88">
        <f>Heizkosten!I14</f>
        <v>1254.5454545454543</v>
      </c>
      <c r="P14" s="117"/>
      <c r="Q14" s="427">
        <f>IF(G4&lt;101,E14+G14+I14+K14+O14+M14,"")</f>
        <v>2306.545454545454</v>
      </c>
      <c r="R14" s="427"/>
      <c r="S14" s="427"/>
      <c r="T14" s="267"/>
      <c r="U14" s="273">
        <f>IF($G$4&lt;101,Q14/$I$4,"")</f>
        <v>0.09061428571428572</v>
      </c>
      <c r="V14" s="59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</row>
    <row r="15" spans="1:35" ht="15" customHeight="1">
      <c r="A15" s="191"/>
      <c r="B15" s="58"/>
      <c r="C15" s="152" t="s">
        <v>69</v>
      </c>
      <c r="D15" s="71"/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156">
        <f>Heizkosten!G14</f>
        <v>16.727272727272723</v>
      </c>
      <c r="P15" s="71"/>
      <c r="Q15" s="409">
        <f>IF(G4&lt;101,Q14-Grunddaten!$B$36,"")</f>
        <v>-1169.9545454545455</v>
      </c>
      <c r="R15" s="409"/>
      <c r="S15" s="409"/>
      <c r="T15" s="63"/>
      <c r="U15" s="63"/>
      <c r="V15" s="59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</row>
    <row r="16" spans="1:35" ht="15">
      <c r="A16" s="191"/>
      <c r="B16" s="58"/>
      <c r="C16" s="37" t="s">
        <v>39</v>
      </c>
      <c r="D16" s="117"/>
      <c r="E16" s="274">
        <f>IF($G$4&lt;17,($K$31/20),IF($G$4&lt;39,($M$31/20),IF($G$4&lt;56,($O$31/20),IF($G$4&lt;110,($Q$31/20),IF($G$4&lt;210,($S$31/20),IF($G$4&lt;320,(($S$31+$Q$31)/20),IF($G$4&lt;420,(($U$31)/20),"")))))))</f>
        <v>280</v>
      </c>
      <c r="F16" s="117"/>
      <c r="G16" s="274">
        <f>IF($G$4&lt;17,Grunddaten!$I$4,IF($G$4&lt;39,Grunddaten!$I$11,IF($G$4&lt;56,Grunddaten!$I$18,IF($G$4&lt;110,Grunddaten!$I$25,IF($G$4&lt;210,Grunddaten!$I$32,IF($G$4&lt;320,(Grunddaten!$I$32+Grunddaten!$I$18),IF($G$4&lt;420,(Grunddaten!$I$32*2),"")))))))</f>
        <v>165</v>
      </c>
      <c r="H16" s="117"/>
      <c r="I16" s="274">
        <f>IF($G$4&lt;17,($K$31/200),IF($G$4&lt;39,($M$31/200),IF($G$4&lt;56,($O$31/200),IF($G$4&lt;101,($Q$31/200),IF($G$4&lt;201,($S$31/200),IF($G$4&lt;330,(($S$31/200)+($Q$31/200)),IF($G$4&lt;420,(($S$31/200)*2),"")))))))</f>
        <v>28</v>
      </c>
      <c r="J16" s="117"/>
      <c r="K16" s="274">
        <f>IF($G$4&lt;17,Grunddaten!$I$5,IF($G$4&lt;39,Grunddaten!$I$12,IF($G$4&lt;56,Grunddaten!$I$19,IF($G$4&lt;101,Grunddaten!$I$26,IF($G$4&lt;201,Grunddaten!$I$33,IF($G$4&lt;330,(Grunddaten!$I$33+Grunddaten!$I$19),IF($G$4&lt;420,(Grunddaten!$I$33*2),"")))))))</f>
        <v>90</v>
      </c>
      <c r="L16" s="117"/>
      <c r="M16" s="274">
        <f>IF($G$4&lt;17,Grunddaten!$I$6,IF($G$4&lt;39,Grunddaten!$I$13,IF($G$4&lt;56,Grunddaten!$I$20,IF($G$4&lt;101,Grunddaten!$I$27,IF($G$4&lt;201,Grunddaten!$I$34,IF($G$4&lt;330,(Grunddaten!$I$34+Grunddaten!$I$20),IF($G$4&lt;420,(Grunddaten!$I$34*2),"")))))))</f>
        <v>21</v>
      </c>
      <c r="N16" s="117"/>
      <c r="O16" s="89">
        <f>Heizkosten!I16</f>
        <v>1987.9999999999995</v>
      </c>
      <c r="P16" s="117"/>
      <c r="Q16" s="410">
        <f>E16+G16+I16+K16+O16+M16</f>
        <v>2571.9999999999995</v>
      </c>
      <c r="R16" s="410"/>
      <c r="S16" s="410"/>
      <c r="T16" s="267"/>
      <c r="U16" s="275">
        <f>Q16/$I$4</f>
        <v>0.10104285714285714</v>
      </c>
      <c r="V16" s="59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</row>
    <row r="17" spans="1:35" ht="15" customHeight="1">
      <c r="A17" s="191"/>
      <c r="B17" s="58"/>
      <c r="C17" s="152" t="s">
        <v>115</v>
      </c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157">
        <f>Heizkosten!G16</f>
        <v>27.999999999999996</v>
      </c>
      <c r="P17" s="71"/>
      <c r="Q17" s="409">
        <f>Q16-Grunddaten!$B$36</f>
        <v>-904.5</v>
      </c>
      <c r="R17" s="409"/>
      <c r="S17" s="409"/>
      <c r="T17" s="63"/>
      <c r="U17" s="63"/>
      <c r="V17" s="59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</row>
    <row r="18" spans="1:35" ht="15">
      <c r="A18" s="191"/>
      <c r="B18" s="58"/>
      <c r="C18" s="38" t="s">
        <v>40</v>
      </c>
      <c r="D18" s="117"/>
      <c r="E18" s="276">
        <f>IF($G$4&lt;17,($K$32/20),IF($G$4&lt;39,($M$32/20),IF($G$4&lt;56,($O$32/20),IF($G$4&lt;110,($Q$32/20),IF($G$4&lt;210,($S$32/20),IF($G$4&lt;320,(($S$32+$Q$32)/20),IF($G$4&lt;420,(($U$32)/20),"")))))))</f>
        <v>435</v>
      </c>
      <c r="F18" s="117"/>
      <c r="G18" s="276">
        <f>IF($G$4&lt;17,Grunddaten!$K$4,IF($G$4&lt;39,Grunddaten!$K$11,IF($G$4&lt;56,Grunddaten!$K$18,IF($G$4&lt;110,Grunddaten!$K$25,IF($G$4&lt;210,Grunddaten!$K$32,IF($G$4&lt;320,(Grunddaten!$K$32+Grunddaten!$K$18),IF($G$4&lt;420,(Grunddaten!$K$32*2),"")))))))</f>
        <v>165</v>
      </c>
      <c r="H18" s="117"/>
      <c r="I18" s="276">
        <f>IF($G$4&lt;17,($K$32/200),IF($G$4&lt;39,($M$32/200),IF($G$4&lt;56,($O$32/200),IF($G$4&lt;101,($Q$32/200),IF($G$4&lt;201,($S$32/200),IF($G$4&lt;330,(($S$32/200)+($Q$32/200)),IF($G$4&lt;420,(($S$32/200)*2),"")))))))</f>
        <v>43.5</v>
      </c>
      <c r="J18" s="117"/>
      <c r="K18" s="276">
        <f>IF($G$4&lt;17,Grunddaten!$K$5,IF($G$4&lt;39,Grunddaten!$K$12,IF($G$4&lt;56,Grunddaten!$K$19,IF($G$4&lt;101,Grunddaten!$K$26,IF($G$4&lt;201,Grunddaten!$K$33,IF($G$4&lt;330,(Grunddaten!$K$33+Grunddaten!$K$19),IF($G$4&lt;420,(Grunddaten!$K$33*2),"")))))))</f>
        <v>150</v>
      </c>
      <c r="L18" s="117"/>
      <c r="M18" s="276">
        <f>IF($G$4&lt;17,Grunddaten!$K$6,IF($G$4&lt;39,Grunddaten!$K$13,IF($G$4&lt;56,Grunddaten!$K$20,IF($G$4&lt;101,Grunddaten!$K$27,IF($G$4&lt;201,Grunddaten!$K$34,IF($G$4&lt;330,(Grunddaten!$K$34+Grunddaten!$K$20),IF($G$4&lt;420,(Grunddaten!$K$34*2),"")))))))</f>
        <v>23</v>
      </c>
      <c r="N18" s="117"/>
      <c r="O18" s="39">
        <f>Heizkosten!I18</f>
        <v>2659.9999999999995</v>
      </c>
      <c r="P18" s="117"/>
      <c r="Q18" s="411">
        <f>E18+G18+I18+K18+O18+M18</f>
        <v>3476.4999999999995</v>
      </c>
      <c r="R18" s="411"/>
      <c r="S18" s="411"/>
      <c r="T18" s="267"/>
      <c r="U18" s="277">
        <f>Q18/$I$4</f>
        <v>0.13657678571428572</v>
      </c>
      <c r="V18" s="59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</row>
    <row r="19" spans="1:35" ht="15" customHeight="1">
      <c r="A19" s="191"/>
      <c r="B19" s="58"/>
      <c r="C19" s="152" t="s">
        <v>115</v>
      </c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158">
        <f>Heizkosten!G18</f>
        <v>2799.9999999999995</v>
      </c>
      <c r="P19" s="71"/>
      <c r="Q19" s="409">
        <f>Q18-Grunddaten!$B$36</f>
        <v>0</v>
      </c>
      <c r="R19" s="409"/>
      <c r="S19" s="409"/>
      <c r="T19" s="63"/>
      <c r="U19" s="63"/>
      <c r="V19" s="59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</row>
    <row r="20" spans="1:35" ht="15">
      <c r="A20" s="191"/>
      <c r="B20" s="58"/>
      <c r="C20" s="123" t="s">
        <v>153</v>
      </c>
      <c r="D20" s="117"/>
      <c r="E20" s="278">
        <f>IF($G$4&lt;17,($K$33/20),IF($G$4&lt;39,($M$33/20),IF($G$4&lt;56,($O$33/20),IF($G$4&lt;110,($Q$33/20),IF($G$4&lt;210,($S$33/20),IF($G$4&lt;320,(($S$33+$Q$33)/20),IF($G$4&lt;420,(($U$33)/20),"")))))))</f>
        <v>745</v>
      </c>
      <c r="F20" s="117"/>
      <c r="G20" s="278">
        <f>IF($G$4&lt;17,Grunddaten!$M$4,IF($G$4&lt;29,Grunddaten!$M$11,IF($G$4&lt;210,Grunddaten!$M$32,IF($G$4&lt;420,(Grunddaten!$M$32*2),""))))</f>
        <v>90</v>
      </c>
      <c r="H20" s="117"/>
      <c r="I20" s="278">
        <f>IF($G$4&lt;17,($K$33/200),IF($G$4&lt;39,($M$33/200),IF($G$4&lt;56,($O$33/200),IF($G$4&lt;110,($Q$33/200),IF($G$4&lt;210,($S$33/200),IF($G$4&lt;310,(($S$33+$Q$33)/200),IF($G$4&lt;420,(($U$33)/200),"")))))))</f>
        <v>74.5</v>
      </c>
      <c r="J20" s="117"/>
      <c r="K20" s="278">
        <f>IF($G$4&lt;420,40,"")</f>
        <v>40</v>
      </c>
      <c r="L20" s="117"/>
      <c r="M20" s="278">
        <f>IF($G$4&lt;420,0,"")</f>
        <v>0</v>
      </c>
      <c r="N20" s="117"/>
      <c r="O20" s="124">
        <f>Heizkosten!I20</f>
        <v>1749.9999999999995</v>
      </c>
      <c r="P20" s="117"/>
      <c r="Q20" s="425">
        <f>IF(G4&lt;420,E20+G20+I20+K20+O20+M20,"")</f>
        <v>2699.4999999999995</v>
      </c>
      <c r="R20" s="425"/>
      <c r="S20" s="425"/>
      <c r="T20" s="267"/>
      <c r="U20" s="279">
        <f>IF($G$4&lt;420,Q20/$I$4,"")</f>
        <v>0.10605178571428572</v>
      </c>
      <c r="V20" s="59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</row>
    <row r="21" spans="1:35" ht="13.5" thickBot="1">
      <c r="A21" s="191"/>
      <c r="B21" s="58"/>
      <c r="C21" s="153" t="s">
        <v>115</v>
      </c>
      <c r="D21" s="63"/>
      <c r="E21" s="63"/>
      <c r="F21" s="63"/>
      <c r="G21" s="63"/>
      <c r="H21" s="63"/>
      <c r="I21" s="63"/>
      <c r="J21" s="63"/>
      <c r="K21" s="118" t="str">
        <f>IF(G4&lt;420,Grunddaten!A37,"")</f>
        <v>mit 40€ Zählerkosten</v>
      </c>
      <c r="L21" s="63"/>
      <c r="M21" s="63"/>
      <c r="N21" s="63"/>
      <c r="O21" s="159">
        <f>Heizkosten!G20</f>
        <v>7954.545454545452</v>
      </c>
      <c r="P21" s="63"/>
      <c r="Q21" s="409">
        <f>IF(G4&lt;420,Q20-Grunddaten!$B$36,"")</f>
        <v>-777</v>
      </c>
      <c r="R21" s="409"/>
      <c r="S21" s="409"/>
      <c r="T21" s="63"/>
      <c r="U21" s="63"/>
      <c r="V21" s="59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</row>
    <row r="22" spans="1:35" ht="9" customHeight="1" thickBot="1">
      <c r="A22" s="191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</row>
    <row r="23" spans="1:35" ht="9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</row>
    <row r="24" spans="1:35" ht="6.7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</row>
    <row r="25" spans="1:35" ht="15.75" thickBot="1">
      <c r="A25" s="191"/>
      <c r="B25" s="191"/>
      <c r="C25" s="205" t="s">
        <v>47</v>
      </c>
      <c r="D25" s="206"/>
      <c r="E25" s="206"/>
      <c r="F25" s="206"/>
      <c r="G25" s="206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</row>
    <row r="26" spans="1:35" ht="12.75">
      <c r="A26" s="191"/>
      <c r="B26" s="191"/>
      <c r="C26" s="423" t="s">
        <v>2</v>
      </c>
      <c r="D26" s="139"/>
      <c r="E26" s="420" t="s">
        <v>63</v>
      </c>
      <c r="F26" s="421"/>
      <c r="G26" s="422"/>
      <c r="H26" s="207"/>
      <c r="I26" s="417" t="s">
        <v>66</v>
      </c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9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</row>
    <row r="27" spans="1:35" ht="12.75">
      <c r="A27" s="191"/>
      <c r="B27" s="191"/>
      <c r="C27" s="424"/>
      <c r="D27" s="127"/>
      <c r="E27" s="131" t="s">
        <v>50</v>
      </c>
      <c r="F27" s="127"/>
      <c r="G27" s="132" t="s">
        <v>51</v>
      </c>
      <c r="H27" s="207"/>
      <c r="I27" s="125"/>
      <c r="J27" s="127"/>
      <c r="K27" s="130" t="s">
        <v>54</v>
      </c>
      <c r="L27" s="126"/>
      <c r="M27" s="130" t="s">
        <v>55</v>
      </c>
      <c r="N27" s="126"/>
      <c r="O27" s="130" t="s">
        <v>56</v>
      </c>
      <c r="P27" s="126"/>
      <c r="Q27" s="130" t="s">
        <v>57</v>
      </c>
      <c r="R27" s="146"/>
      <c r="S27" s="281" t="s">
        <v>93</v>
      </c>
      <c r="T27" s="280"/>
      <c r="U27" s="140" t="s">
        <v>126</v>
      </c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</row>
    <row r="28" spans="1:35" ht="12.75">
      <c r="A28" s="191"/>
      <c r="B28" s="191"/>
      <c r="C28" s="133" t="s">
        <v>49</v>
      </c>
      <c r="D28" s="207"/>
      <c r="E28" s="174">
        <f>Heizkosten!G26</f>
        <v>22</v>
      </c>
      <c r="F28" s="209"/>
      <c r="G28" s="180">
        <f>Heizkosten!I26</f>
        <v>21</v>
      </c>
      <c r="H28" s="207"/>
      <c r="I28" s="141" t="s">
        <v>12</v>
      </c>
      <c r="J28" s="207"/>
      <c r="K28" s="168">
        <v>16500</v>
      </c>
      <c r="L28" s="207"/>
      <c r="M28" s="168">
        <v>20000</v>
      </c>
      <c r="N28" s="207"/>
      <c r="O28" s="168">
        <v>25000</v>
      </c>
      <c r="P28" s="207"/>
      <c r="Q28" s="168">
        <v>32000</v>
      </c>
      <c r="R28" s="211"/>
      <c r="S28" s="168">
        <v>45000</v>
      </c>
      <c r="T28" s="196"/>
      <c r="U28" s="361">
        <v>72000</v>
      </c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</row>
    <row r="29" spans="1:35" ht="12.75" customHeight="1">
      <c r="A29" s="191"/>
      <c r="B29" s="191"/>
      <c r="C29" s="134" t="s">
        <v>48</v>
      </c>
      <c r="D29" s="207"/>
      <c r="E29" s="175">
        <f>Heizkosten!G27</f>
        <v>220</v>
      </c>
      <c r="F29" s="209"/>
      <c r="G29" s="181">
        <f>Heizkosten!I27</f>
        <v>205</v>
      </c>
      <c r="H29" s="207"/>
      <c r="I29" s="142" t="s">
        <v>59</v>
      </c>
      <c r="J29" s="207"/>
      <c r="K29" s="169">
        <v>15000</v>
      </c>
      <c r="L29" s="207"/>
      <c r="M29" s="169">
        <v>17000</v>
      </c>
      <c r="N29" s="207"/>
      <c r="O29" s="169">
        <v>25000</v>
      </c>
      <c r="P29" s="207"/>
      <c r="Q29" s="169">
        <v>35000</v>
      </c>
      <c r="R29" s="211"/>
      <c r="S29" s="169">
        <v>45000</v>
      </c>
      <c r="T29" s="196"/>
      <c r="U29" s="362">
        <v>68000</v>
      </c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</row>
    <row r="30" spans="1:35" ht="12.75" customHeight="1">
      <c r="A30" s="191"/>
      <c r="B30" s="191"/>
      <c r="C30" s="135" t="s">
        <v>70</v>
      </c>
      <c r="D30" s="207"/>
      <c r="E30" s="176">
        <f>Heizkosten!G28</f>
        <v>75</v>
      </c>
      <c r="F30" s="209"/>
      <c r="G30" s="182">
        <f>Heizkosten!I28</f>
        <v>68</v>
      </c>
      <c r="H30" s="207"/>
      <c r="I30" s="143" t="s">
        <v>60</v>
      </c>
      <c r="J30" s="207"/>
      <c r="K30" s="170">
        <v>13000</v>
      </c>
      <c r="L30" s="207"/>
      <c r="M30" s="170">
        <v>13000</v>
      </c>
      <c r="N30" s="207"/>
      <c r="O30" s="170">
        <v>16000</v>
      </c>
      <c r="P30" s="207"/>
      <c r="Q30" s="170">
        <v>21300</v>
      </c>
      <c r="R30" s="211"/>
      <c r="S30" s="170"/>
      <c r="T30" s="196"/>
      <c r="U30" s="363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</row>
    <row r="31" spans="1:35" ht="12.75">
      <c r="A31" s="191"/>
      <c r="B31" s="191"/>
      <c r="C31" s="136" t="s">
        <v>80</v>
      </c>
      <c r="D31" s="207"/>
      <c r="E31" s="177">
        <f>Heizkosten!G29</f>
        <v>0.071</v>
      </c>
      <c r="F31" s="209"/>
      <c r="G31" s="183">
        <f>Heizkosten!I29</f>
        <v>0.068</v>
      </c>
      <c r="H31" s="207"/>
      <c r="I31" s="144" t="s">
        <v>61</v>
      </c>
      <c r="J31" s="207"/>
      <c r="K31" s="171">
        <v>5600</v>
      </c>
      <c r="L31" s="207"/>
      <c r="M31" s="171">
        <v>5800</v>
      </c>
      <c r="N31" s="207"/>
      <c r="O31" s="171">
        <v>15000</v>
      </c>
      <c r="P31" s="207"/>
      <c r="Q31" s="171">
        <v>8800</v>
      </c>
      <c r="R31" s="211"/>
      <c r="S31" s="171">
        <v>14900</v>
      </c>
      <c r="T31" s="196"/>
      <c r="U31" s="364">
        <v>30800</v>
      </c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</row>
    <row r="32" spans="1:35" ht="12.75">
      <c r="A32" s="191"/>
      <c r="B32" s="191"/>
      <c r="C32" s="137" t="s">
        <v>52</v>
      </c>
      <c r="D32" s="207"/>
      <c r="E32" s="178">
        <f>Heizkosten!G30</f>
        <v>0.95</v>
      </c>
      <c r="F32" s="209"/>
      <c r="G32" s="184">
        <f>Heizkosten!I30</f>
        <v>0.85</v>
      </c>
      <c r="H32" s="207"/>
      <c r="I32" s="145" t="s">
        <v>10</v>
      </c>
      <c r="J32" s="207"/>
      <c r="K32" s="172">
        <v>8700</v>
      </c>
      <c r="L32" s="207"/>
      <c r="M32" s="172">
        <v>9400</v>
      </c>
      <c r="N32" s="207"/>
      <c r="O32" s="172">
        <v>11400</v>
      </c>
      <c r="P32" s="207"/>
      <c r="Q32" s="172">
        <v>18100</v>
      </c>
      <c r="R32" s="211"/>
      <c r="S32" s="172">
        <v>20900</v>
      </c>
      <c r="T32" s="196"/>
      <c r="U32" s="365">
        <v>42800</v>
      </c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</row>
    <row r="33" spans="1:35" ht="13.5" thickBot="1">
      <c r="A33" s="191"/>
      <c r="B33" s="191"/>
      <c r="C33" s="138" t="s">
        <v>58</v>
      </c>
      <c r="D33" s="208"/>
      <c r="E33" s="179">
        <f>Heizkosten!G31</f>
        <v>0.22</v>
      </c>
      <c r="F33" s="210"/>
      <c r="G33" s="179">
        <f>Heizkosten!I31</f>
        <v>0.153</v>
      </c>
      <c r="H33" s="207"/>
      <c r="I33" s="372" t="s">
        <v>62</v>
      </c>
      <c r="J33" s="208"/>
      <c r="K33" s="173">
        <v>14900</v>
      </c>
      <c r="L33" s="208"/>
      <c r="M33" s="173">
        <v>18900</v>
      </c>
      <c r="N33" s="208"/>
      <c r="O33" s="173">
        <v>29400</v>
      </c>
      <c r="P33" s="208"/>
      <c r="Q33" s="173">
        <v>45000</v>
      </c>
      <c r="R33" s="212"/>
      <c r="S33" s="173">
        <v>85000</v>
      </c>
      <c r="T33" s="262"/>
      <c r="U33" s="173">
        <v>175000</v>
      </c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</row>
    <row r="34" spans="1:35" ht="15.75" customHeight="1" thickBot="1">
      <c r="A34" s="191"/>
      <c r="B34" s="191"/>
      <c r="C34" s="230" t="s">
        <v>114</v>
      </c>
      <c r="D34" s="191"/>
      <c r="E34" s="191"/>
      <c r="F34" s="191"/>
      <c r="G34" s="191"/>
      <c r="H34" s="191"/>
      <c r="I34" s="261" t="s">
        <v>124</v>
      </c>
      <c r="J34" s="262"/>
      <c r="K34" s="265"/>
      <c r="L34" s="191"/>
      <c r="M34" s="282" t="s">
        <v>123</v>
      </c>
      <c r="N34" s="196"/>
      <c r="O34" s="283" t="s">
        <v>3</v>
      </c>
      <c r="P34" s="196"/>
      <c r="Q34" s="284"/>
      <c r="R34" s="199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</row>
    <row r="35" spans="1:35" ht="13.5" thickBo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263"/>
      <c r="N35" s="262"/>
      <c r="O35" s="264" t="s">
        <v>4</v>
      </c>
      <c r="P35" s="262"/>
      <c r="Q35" s="266"/>
      <c r="R35" s="199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</row>
    <row r="36" spans="1:35" ht="12.7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9"/>
      <c r="R36" s="199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</row>
    <row r="37" spans="1:35" ht="21.7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9"/>
      <c r="R37" s="199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</row>
    <row r="38" spans="1:35" ht="23.2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200"/>
      <c r="R39" s="200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</row>
    <row r="40" spans="1:35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</row>
    <row r="41" spans="1:35" ht="12.7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</row>
    <row r="42" spans="1:35" ht="12.7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</row>
    <row r="43" spans="1:35" ht="12.7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</row>
    <row r="44" spans="1:35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</row>
    <row r="45" spans="1:35" ht="12.7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</row>
    <row r="46" spans="1:35" ht="12.7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</row>
    <row r="47" spans="1:35" ht="12.7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</row>
    <row r="48" spans="1:35" ht="12.7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</row>
    <row r="49" spans="1:35" ht="12.7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</row>
    <row r="50" spans="1:35" ht="12.7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</row>
    <row r="51" spans="1:35" ht="12.7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</row>
    <row r="52" spans="1:35" ht="12.7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</row>
    <row r="53" spans="1:35" ht="12.75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</row>
    <row r="54" spans="1:35" ht="12.75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</row>
    <row r="55" spans="1:35" ht="12.75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</row>
    <row r="56" spans="1:35" ht="12.7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</row>
    <row r="57" spans="1:35" ht="12.75">
      <c r="A57" s="191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</row>
    <row r="58" spans="1:35" ht="12.75">
      <c r="A58" s="191"/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</row>
    <row r="59" spans="1:35" ht="12.75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</row>
    <row r="60" spans="1:35" ht="12.75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</row>
  </sheetData>
  <sheetProtection password="EF7E" sheet="1" objects="1" scenarios="1" selectLockedCells="1"/>
  <mergeCells count="19">
    <mergeCell ref="U7:U8"/>
    <mergeCell ref="I26:U26"/>
    <mergeCell ref="E26:G26"/>
    <mergeCell ref="C26:C27"/>
    <mergeCell ref="Q20:S20"/>
    <mergeCell ref="Q21:S21"/>
    <mergeCell ref="Q19:S19"/>
    <mergeCell ref="Q12:S12"/>
    <mergeCell ref="Q13:S13"/>
    <mergeCell ref="Q14:S14"/>
    <mergeCell ref="Q15:S15"/>
    <mergeCell ref="Q16:S16"/>
    <mergeCell ref="Q17:S17"/>
    <mergeCell ref="Q18:S18"/>
    <mergeCell ref="C2:I2"/>
    <mergeCell ref="C4:E4"/>
    <mergeCell ref="Q10:S10"/>
    <mergeCell ref="Q11:S11"/>
    <mergeCell ref="Q7:S7"/>
  </mergeCells>
  <printOptions/>
  <pageMargins left="0.21" right="0" top="0.37" bottom="0" header="0" footer="0"/>
  <pageSetup horizontalDpi="300" verticalDpi="300" orientation="landscape" paperSize="9" scale="86" r:id="rId2"/>
  <colBreaks count="1" manualBreakCount="1">
    <brk id="22" max="65535" man="1"/>
  </colBreaks>
  <ignoredErrors>
    <ignoredError sqref="Q11:Q14 Q16:Q19" formula="1"/>
    <ignoredError sqref="G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0"/>
  <sheetViews>
    <sheetView zoomScale="102" zoomScaleNormal="102" zoomScalePageLayoutView="0" workbookViewId="0" topLeftCell="A1">
      <selection activeCell="C8" sqref="C8:C9"/>
    </sheetView>
  </sheetViews>
  <sheetFormatPr defaultColWidth="11.421875" defaultRowHeight="12.75"/>
  <cols>
    <col min="1" max="1" width="3.140625" style="0" customWidth="1"/>
    <col min="2" max="2" width="33.140625" style="0" customWidth="1"/>
    <col min="3" max="3" width="15.7109375" style="0" bestFit="1" customWidth="1"/>
    <col min="6" max="6" width="32.421875" style="0" customWidth="1"/>
    <col min="7" max="7" width="13.57421875" style="0" customWidth="1"/>
    <col min="13" max="13" width="2.7109375" style="0" customWidth="1"/>
  </cols>
  <sheetData>
    <row r="1" spans="1:27" ht="12.75" customHeight="1">
      <c r="A1" s="213"/>
      <c r="B1" s="431" t="s">
        <v>95</v>
      </c>
      <c r="C1" s="431"/>
      <c r="D1" s="431"/>
      <c r="E1" s="431"/>
      <c r="F1" s="431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2.75" customHeight="1">
      <c r="A2" s="213"/>
      <c r="B2" s="431"/>
      <c r="C2" s="431"/>
      <c r="D2" s="431"/>
      <c r="E2" s="431"/>
      <c r="F2" s="431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</row>
    <row r="3" spans="1:27" ht="12.75">
      <c r="A3" s="213"/>
      <c r="B3" s="431"/>
      <c r="C3" s="431"/>
      <c r="D3" s="431"/>
      <c r="E3" s="431"/>
      <c r="F3" s="431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</row>
    <row r="4" spans="1:27" ht="13.5" thickBot="1">
      <c r="A4" s="213"/>
      <c r="B4" s="431"/>
      <c r="C4" s="431"/>
      <c r="D4" s="431"/>
      <c r="E4" s="431"/>
      <c r="F4" s="431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18.75" thickBot="1">
      <c r="A5" s="213"/>
      <c r="B5" s="150" t="s">
        <v>77</v>
      </c>
      <c r="C5" s="151">
        <f>(Grunddaten!B49-Grunddaten!B48)/(Grunddaten!B50-Grunddaten!B51)</f>
        <v>4.473297154739566</v>
      </c>
      <c r="D5" s="213"/>
      <c r="E5" s="215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6" spans="1:27" ht="12.75">
      <c r="A6" s="213"/>
      <c r="B6" s="214"/>
      <c r="C6" s="214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</row>
    <row r="7" spans="1:27" ht="13.5" thickBo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</row>
    <row r="8" spans="1:27" ht="12.75">
      <c r="A8" s="213"/>
      <c r="B8" s="428" t="s">
        <v>79</v>
      </c>
      <c r="C8" s="429">
        <v>0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</row>
    <row r="9" spans="1:27" ht="13.5" thickBot="1">
      <c r="A9" s="213"/>
      <c r="B9" s="428"/>
      <c r="C9" s="430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</row>
    <row r="10" spans="1:27" ht="13.5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</row>
    <row r="11" spans="1:27" ht="18.75" thickBot="1">
      <c r="A11" s="213"/>
      <c r="B11" s="150" t="s">
        <v>78</v>
      </c>
      <c r="C11" s="151">
        <f>(Grunddaten!B49-(Grunddaten!B48+C8))/(Grunddaten!B50-Grunddaten!B51)</f>
        <v>4.473297154739566</v>
      </c>
      <c r="D11" s="213"/>
      <c r="E11" s="213"/>
      <c r="F11" s="148" t="s">
        <v>76</v>
      </c>
      <c r="G11" s="149">
        <f>Grunddaten!V54-C8</f>
        <v>21867.142857142855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</row>
    <row r="12" spans="1:27" ht="12.7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</row>
    <row r="13" spans="1:27" ht="12.75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</row>
    <row r="14" spans="1:27" ht="12.7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</row>
    <row r="15" spans="1:27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</row>
    <row r="16" spans="1:27" ht="12.7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</row>
    <row r="17" spans="1:27" ht="12.7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ht="12.7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</row>
    <row r="19" spans="1:27" ht="12.7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</row>
    <row r="20" spans="1:27" ht="12.7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</row>
    <row r="21" spans="1:27" ht="12.7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</row>
    <row r="22" spans="1:27" ht="12.7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</row>
    <row r="23" spans="1:27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</row>
    <row r="24" spans="1:27" ht="12.7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</row>
    <row r="25" spans="1:27" ht="12.7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</row>
    <row r="26" spans="1:27" ht="12.7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  <row r="27" spans="1:27" ht="12.7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</row>
    <row r="28" spans="1:27" ht="12.7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</row>
    <row r="29" spans="1:27" ht="12.7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</row>
    <row r="30" spans="1:27" ht="12.7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</row>
    <row r="31" spans="1:27" ht="12.7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</row>
    <row r="32" spans="1:27" ht="12.7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</row>
    <row r="33" spans="1:27" ht="12.7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</row>
    <row r="34" spans="1:27" ht="12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</row>
    <row r="35" spans="1:27" ht="12.7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</row>
    <row r="36" spans="1:27" ht="12.75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</row>
    <row r="37" spans="1:27" ht="12.75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</row>
    <row r="38" spans="1:27" ht="12.75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</row>
    <row r="39" spans="1:27" ht="12.7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</row>
    <row r="40" spans="1:27" ht="12.7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</row>
    <row r="41" spans="1:27" ht="12.7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</row>
    <row r="42" spans="1:27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</row>
    <row r="43" spans="1:27" ht="12.7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</row>
    <row r="44" spans="1:27" ht="12.7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</row>
    <row r="45" spans="1:27" ht="12.7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</row>
    <row r="46" spans="1:27" ht="12.7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</row>
    <row r="47" spans="2:27" ht="12.7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</row>
    <row r="48" spans="1:27" ht="12.7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</row>
    <row r="49" spans="1:27" ht="12.75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</row>
    <row r="50" spans="1:27" ht="12.75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</row>
    <row r="51" spans="1:27" ht="12.75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</row>
    <row r="52" spans="1:27" ht="12.7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</row>
    <row r="53" spans="1:27" ht="12.75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</row>
    <row r="54" spans="1:27" ht="12.7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</row>
    <row r="55" spans="1:27" ht="12.75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</row>
    <row r="56" spans="1:27" ht="12.7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</row>
    <row r="57" spans="1:27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</row>
    <row r="58" spans="1:27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</row>
    <row r="59" spans="1:27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</row>
    <row r="60" spans="1:27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12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</row>
    <row r="62" spans="1:27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</row>
    <row r="63" spans="1:27" ht="12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</row>
    <row r="64" spans="1:27" ht="12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</row>
    <row r="65" spans="1:27" ht="12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</row>
    <row r="66" spans="1:27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</row>
    <row r="67" spans="1:27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</row>
    <row r="68" spans="1:27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</row>
    <row r="69" spans="1:27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</row>
    <row r="70" spans="1:27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</row>
  </sheetData>
  <sheetProtection password="EF7E" sheet="1" objects="1" scenarios="1" selectLockedCells="1"/>
  <mergeCells count="3">
    <mergeCell ref="B8:B9"/>
    <mergeCell ref="C8:C9"/>
    <mergeCell ref="B1:F4"/>
  </mergeCells>
  <printOptions/>
  <pageMargins left="0.3937007874015748" right="0.2362204724409449" top="0.67" bottom="0.76" header="0.5118110236220472" footer="0.5118110236220472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0"/>
  <sheetViews>
    <sheetView zoomScale="102" zoomScaleNormal="102" zoomScalePageLayoutView="0" workbookViewId="0" topLeftCell="A1">
      <selection activeCell="C8" sqref="C8:C9"/>
    </sheetView>
  </sheetViews>
  <sheetFormatPr defaultColWidth="11.421875" defaultRowHeight="12.75"/>
  <cols>
    <col min="1" max="1" width="3.00390625" style="0" customWidth="1"/>
    <col min="2" max="2" width="33.140625" style="0" customWidth="1"/>
    <col min="3" max="3" width="15.7109375" style="0" bestFit="1" customWidth="1"/>
    <col min="6" max="6" width="32.421875" style="0" customWidth="1"/>
    <col min="7" max="7" width="13.57421875" style="0" customWidth="1"/>
    <col min="13" max="13" width="2.7109375" style="0" customWidth="1"/>
  </cols>
  <sheetData>
    <row r="1" spans="1:27" ht="12.75" customHeight="1">
      <c r="A1" s="213"/>
      <c r="B1" s="431" t="s">
        <v>98</v>
      </c>
      <c r="C1" s="431"/>
      <c r="D1" s="431"/>
      <c r="E1" s="431"/>
      <c r="F1" s="431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2.75" customHeight="1">
      <c r="A2" s="213"/>
      <c r="B2" s="431"/>
      <c r="C2" s="431"/>
      <c r="D2" s="431"/>
      <c r="E2" s="431"/>
      <c r="F2" s="431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</row>
    <row r="3" spans="1:27" ht="12.75">
      <c r="A3" s="213"/>
      <c r="B3" s="431"/>
      <c r="C3" s="431"/>
      <c r="D3" s="431"/>
      <c r="E3" s="431"/>
      <c r="F3" s="431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</row>
    <row r="4" spans="1:27" ht="13.5" thickBot="1">
      <c r="A4" s="213"/>
      <c r="B4" s="431"/>
      <c r="C4" s="431"/>
      <c r="D4" s="431"/>
      <c r="E4" s="431"/>
      <c r="F4" s="431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18.75" thickBot="1">
      <c r="A5" s="213"/>
      <c r="B5" s="150" t="s">
        <v>77</v>
      </c>
      <c r="C5" s="151">
        <f>(Grunddaten!B61-Grunddaten!B60)/(Grunddaten!B62-Grunddaten!B63)</f>
        <v>4.170999079052911</v>
      </c>
      <c r="D5" s="213"/>
      <c r="E5" s="215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6" spans="1:27" ht="12.75">
      <c r="A6" s="213"/>
      <c r="B6" s="214"/>
      <c r="C6" s="214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</row>
    <row r="7" spans="1:27" ht="13.5" thickBo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</row>
    <row r="8" spans="1:27" ht="12.75">
      <c r="A8" s="213"/>
      <c r="B8" s="428" t="s">
        <v>79</v>
      </c>
      <c r="C8" s="429">
        <v>500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</row>
    <row r="9" spans="1:27" ht="13.5" thickBot="1">
      <c r="A9" s="213"/>
      <c r="B9" s="428"/>
      <c r="C9" s="430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</row>
    <row r="10" spans="1:27" ht="13.5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</row>
    <row r="11" spans="1:27" ht="18.75" thickBot="1">
      <c r="A11" s="213"/>
      <c r="B11" s="150" t="s">
        <v>78</v>
      </c>
      <c r="C11" s="151">
        <f>(Grunddaten!B61-(Grunddaten!B60+C8))/(Grunddaten!B62-Grunddaten!B63)</f>
        <v>4.438370814889636</v>
      </c>
      <c r="D11" s="213"/>
      <c r="E11" s="213"/>
      <c r="F11" s="148" t="s">
        <v>76</v>
      </c>
      <c r="G11" s="149">
        <f>Grunddaten!V66-C8</f>
        <v>29101.111111111102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</row>
    <row r="12" spans="1:27" ht="12.7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</row>
    <row r="13" spans="1:27" ht="12.75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</row>
    <row r="14" spans="1:27" ht="12.7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</row>
    <row r="15" spans="1:27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</row>
    <row r="16" spans="1:27" ht="12.7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</row>
    <row r="17" spans="1:27" ht="12.7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ht="12.7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</row>
    <row r="19" spans="1:27" ht="12.7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</row>
    <row r="20" spans="1:27" ht="12.7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</row>
    <row r="21" spans="1:27" ht="12.7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</row>
    <row r="22" spans="1:27" ht="12.7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</row>
    <row r="23" spans="1:27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</row>
    <row r="24" spans="1:27" ht="12.7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</row>
    <row r="25" spans="1:27" ht="12.7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</row>
    <row r="26" spans="1:27" ht="12.7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  <row r="27" spans="1:27" ht="12.7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</row>
    <row r="28" spans="1:27" ht="12.7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</row>
    <row r="29" spans="1:27" ht="12.7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</row>
    <row r="30" spans="1:27" ht="12.7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</row>
    <row r="31" spans="1:27" ht="12.7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</row>
    <row r="32" spans="1:27" ht="12.7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</row>
    <row r="33" spans="1:27" ht="12.7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</row>
    <row r="34" spans="1:27" ht="12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</row>
    <row r="35" spans="1:27" ht="12.7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</row>
    <row r="36" spans="1:27" ht="12.75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</row>
    <row r="37" spans="1:27" ht="12.75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</row>
    <row r="38" spans="1:27" ht="12.75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</row>
    <row r="39" spans="1:27" ht="12.7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</row>
    <row r="40" spans="1:27" ht="12.7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</row>
    <row r="41" spans="1:27" ht="12.7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</row>
    <row r="42" spans="1:27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</row>
    <row r="43" spans="1:27" ht="12.7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</row>
    <row r="44" spans="1:27" ht="12.7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</row>
    <row r="45" spans="1:27" ht="12.7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</row>
    <row r="46" spans="1:27" ht="12.7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</row>
    <row r="47" spans="1:27" ht="12.75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</row>
    <row r="48" spans="1:27" ht="12.7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</row>
    <row r="49" spans="1:27" ht="12.75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</row>
    <row r="50" spans="1:27" ht="12.75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</row>
    <row r="51" spans="1:27" ht="12.75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</row>
    <row r="52" spans="1:27" ht="12.7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</row>
    <row r="53" spans="1:27" ht="12.75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</row>
    <row r="54" spans="1:27" ht="12.7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</row>
    <row r="55" spans="1:27" ht="12.75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</row>
    <row r="56" spans="1:27" ht="12.7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</row>
    <row r="57" spans="1:27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</row>
    <row r="58" spans="1:27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</row>
    <row r="59" spans="1:27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</row>
    <row r="60" spans="1:27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12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</row>
    <row r="62" spans="1:27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</row>
    <row r="63" spans="1:27" ht="12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</row>
    <row r="64" spans="1:27" ht="12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</row>
    <row r="65" spans="1:27" ht="12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</row>
    <row r="66" spans="1:27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</row>
    <row r="67" spans="1:27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</row>
    <row r="68" spans="1:27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</row>
    <row r="69" spans="1:27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</row>
    <row r="70" spans="1:27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</row>
  </sheetData>
  <sheetProtection password="EF7E" sheet="1" objects="1" scenarios="1" selectLockedCells="1"/>
  <mergeCells count="3">
    <mergeCell ref="B8:B9"/>
    <mergeCell ref="C8:C9"/>
    <mergeCell ref="B1:F4"/>
  </mergeCells>
  <printOptions/>
  <pageMargins left="0.3937007874015748" right="0.2362204724409449" top="0.67" bottom="0.76" header="0.5118110236220472" footer="0.5118110236220472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0"/>
  <sheetViews>
    <sheetView zoomScale="102" zoomScaleNormal="102" zoomScalePageLayoutView="0" workbookViewId="0" topLeftCell="A1">
      <selection activeCell="C8" sqref="C8:C9"/>
    </sheetView>
  </sheetViews>
  <sheetFormatPr defaultColWidth="11.421875" defaultRowHeight="12.75"/>
  <cols>
    <col min="1" max="1" width="3.140625" style="0" customWidth="1"/>
    <col min="2" max="2" width="33.140625" style="0" customWidth="1"/>
    <col min="3" max="3" width="15.7109375" style="0" bestFit="1" customWidth="1"/>
    <col min="6" max="6" width="32.421875" style="0" customWidth="1"/>
    <col min="7" max="7" width="13.57421875" style="0" customWidth="1"/>
    <col min="13" max="13" width="2.7109375" style="0" customWidth="1"/>
  </cols>
  <sheetData>
    <row r="1" spans="1:27" ht="12.75" customHeight="1">
      <c r="A1" s="213"/>
      <c r="B1" s="431" t="s">
        <v>106</v>
      </c>
      <c r="C1" s="431"/>
      <c r="D1" s="431"/>
      <c r="E1" s="431"/>
      <c r="F1" s="431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2.75" customHeight="1">
      <c r="A2" s="213"/>
      <c r="B2" s="431"/>
      <c r="C2" s="431"/>
      <c r="D2" s="431"/>
      <c r="E2" s="431"/>
      <c r="F2" s="431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</row>
    <row r="3" spans="1:27" ht="12.75">
      <c r="A3" s="213"/>
      <c r="B3" s="431"/>
      <c r="C3" s="431"/>
      <c r="D3" s="431"/>
      <c r="E3" s="431"/>
      <c r="F3" s="431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</row>
    <row r="4" spans="1:27" ht="13.5" thickBot="1">
      <c r="A4" s="213"/>
      <c r="B4" s="431"/>
      <c r="C4" s="431"/>
      <c r="D4" s="431"/>
      <c r="E4" s="431"/>
      <c r="F4" s="431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18.75" thickBot="1">
      <c r="A5" s="213"/>
      <c r="B5" s="150" t="s">
        <v>77</v>
      </c>
      <c r="C5" s="151">
        <f>(Grunddaten!B85-Grunddaten!B84)/(Grunddaten!B86-Grunddaten!B87)</f>
        <v>14.267129228100611</v>
      </c>
      <c r="D5" s="213"/>
      <c r="E5" s="215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6" spans="1:27" ht="12.75">
      <c r="A6" s="213"/>
      <c r="B6" s="214"/>
      <c r="C6" s="214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</row>
    <row r="7" spans="1:27" ht="13.5" thickBo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</row>
    <row r="8" spans="1:27" ht="12.75">
      <c r="A8" s="213"/>
      <c r="B8" s="428" t="s">
        <v>79</v>
      </c>
      <c r="C8" s="429">
        <v>0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</row>
    <row r="9" spans="1:27" ht="13.5" thickBot="1">
      <c r="A9" s="213"/>
      <c r="B9" s="428"/>
      <c r="C9" s="430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</row>
    <row r="10" spans="1:27" ht="13.5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</row>
    <row r="11" spans="1:27" ht="18.75" thickBot="1">
      <c r="A11" s="213"/>
      <c r="B11" s="150" t="s">
        <v>78</v>
      </c>
      <c r="C11" s="151">
        <f>(Grunddaten!B85-(Grunddaten!B84+C8))/(Grunddaten!B86-Grunddaten!B87)</f>
        <v>14.267129228100611</v>
      </c>
      <c r="D11" s="213"/>
      <c r="E11" s="213"/>
      <c r="F11" s="148" t="s">
        <v>76</v>
      </c>
      <c r="G11" s="149">
        <f>Grunddaten!V90-C8</f>
        <v>3777.1428571428532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</row>
    <row r="12" spans="1:27" ht="12.7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</row>
    <row r="13" spans="1:27" ht="12.75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</row>
    <row r="14" spans="1:27" ht="12.7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</row>
    <row r="15" spans="1:27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</row>
    <row r="16" spans="1:27" ht="12.7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</row>
    <row r="17" spans="1:27" ht="12.7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ht="12.7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</row>
    <row r="19" spans="1:27" ht="12.7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</row>
    <row r="20" spans="1:27" ht="12.7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</row>
    <row r="21" spans="1:27" ht="12.7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</row>
    <row r="22" spans="1:27" ht="12.7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</row>
    <row r="23" spans="1:27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</row>
    <row r="24" spans="1:27" ht="12.7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</row>
    <row r="25" spans="1:27" ht="12.7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</row>
    <row r="26" spans="1:27" ht="12.7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  <row r="27" spans="1:27" ht="12.7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</row>
    <row r="28" spans="1:27" ht="12.7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</row>
    <row r="29" spans="1:27" ht="12.7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</row>
    <row r="30" spans="1:27" ht="12.7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</row>
    <row r="31" spans="1:27" ht="12.7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</row>
    <row r="32" spans="1:27" ht="12.7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</row>
    <row r="33" spans="1:27" ht="12.7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</row>
    <row r="34" spans="1:27" ht="12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</row>
    <row r="35" spans="1:27" ht="12.7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</row>
    <row r="36" spans="1:27" ht="12.75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</row>
    <row r="37" spans="1:27" ht="12.75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</row>
    <row r="38" spans="1:27" ht="12.75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</row>
    <row r="39" spans="1:27" ht="12.7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</row>
    <row r="40" spans="1:27" ht="12.7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</row>
    <row r="41" spans="1:27" ht="12.7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</row>
    <row r="42" spans="1:27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</row>
    <row r="43" spans="1:27" ht="12.7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</row>
    <row r="44" spans="1:27" ht="12.7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</row>
    <row r="45" spans="1:27" ht="12.7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</row>
    <row r="46" spans="1:27" ht="12.7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</row>
    <row r="47" spans="1:27" ht="12.75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</row>
    <row r="48" spans="1:27" ht="12.7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</row>
    <row r="49" spans="1:27" ht="12.75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</row>
    <row r="50" spans="1:27" ht="12.75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</row>
    <row r="51" spans="1:27" ht="12.75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</row>
    <row r="52" spans="1:27" ht="12.7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</row>
    <row r="53" spans="1:27" ht="12.75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</row>
    <row r="54" spans="1:27" ht="12.7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</row>
    <row r="55" spans="1:27" ht="12.75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</row>
    <row r="56" spans="1:27" ht="12.7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</row>
    <row r="57" spans="1:27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</row>
    <row r="58" spans="1:27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</row>
    <row r="59" spans="1:27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</row>
    <row r="60" spans="1:27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12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</row>
    <row r="62" spans="1:27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</row>
    <row r="63" spans="1:27" ht="12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</row>
    <row r="64" spans="1:27" ht="12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</row>
    <row r="65" spans="1:27" ht="12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</row>
    <row r="66" spans="1:27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</row>
    <row r="67" spans="1:27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</row>
    <row r="68" spans="1:27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</row>
    <row r="69" spans="1:27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</row>
    <row r="70" spans="1:27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</row>
  </sheetData>
  <sheetProtection password="EF7E" sheet="1" objects="1" scenarios="1" selectLockedCells="1"/>
  <mergeCells count="3">
    <mergeCell ref="B8:B9"/>
    <mergeCell ref="C8:C9"/>
    <mergeCell ref="B1:F4"/>
  </mergeCells>
  <printOptions/>
  <pageMargins left="0.3937007874015748" right="0.2362204724409449" top="0.67" bottom="0.76" header="0.5118110236220472" footer="0.511811023622047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0"/>
  <sheetViews>
    <sheetView zoomScale="102" zoomScaleNormal="102" zoomScalePageLayoutView="0" workbookViewId="0" topLeftCell="A1">
      <selection activeCell="C8" sqref="C8:C9"/>
    </sheetView>
  </sheetViews>
  <sheetFormatPr defaultColWidth="11.421875" defaultRowHeight="12.75"/>
  <cols>
    <col min="1" max="1" width="3.00390625" style="0" customWidth="1"/>
    <col min="2" max="2" width="33.140625" style="0" customWidth="1"/>
    <col min="3" max="3" width="15.7109375" style="0" bestFit="1" customWidth="1"/>
    <col min="6" max="6" width="32.421875" style="0" customWidth="1"/>
    <col min="7" max="7" width="13.57421875" style="0" customWidth="1"/>
    <col min="13" max="13" width="2.7109375" style="0" customWidth="1"/>
  </cols>
  <sheetData>
    <row r="1" spans="1:27" ht="12.75" customHeight="1">
      <c r="A1" s="213"/>
      <c r="B1" s="431" t="s">
        <v>99</v>
      </c>
      <c r="C1" s="431"/>
      <c r="D1" s="431"/>
      <c r="E1" s="431"/>
      <c r="F1" s="431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27" ht="12.75" customHeight="1">
      <c r="A2" s="213"/>
      <c r="B2" s="431"/>
      <c r="C2" s="431"/>
      <c r="D2" s="431"/>
      <c r="E2" s="431"/>
      <c r="F2" s="431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</row>
    <row r="3" spans="1:27" ht="12.75">
      <c r="A3" s="213"/>
      <c r="B3" s="431"/>
      <c r="C3" s="431"/>
      <c r="D3" s="431"/>
      <c r="E3" s="431"/>
      <c r="F3" s="431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</row>
    <row r="4" spans="1:27" ht="13.5" thickBot="1">
      <c r="A4" s="213"/>
      <c r="B4" s="431"/>
      <c r="C4" s="431"/>
      <c r="D4" s="431"/>
      <c r="E4" s="431"/>
      <c r="F4" s="431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</row>
    <row r="5" spans="1:27" ht="18.75" thickBot="1">
      <c r="A5" s="213"/>
      <c r="B5" s="150" t="s">
        <v>77</v>
      </c>
      <c r="C5" s="151">
        <f>(Grunddaten!B73-Grunddaten!B72)/(Grunddaten!B74-Grunddaten!B75)</f>
        <v>9.72731779871096</v>
      </c>
      <c r="D5" s="213"/>
      <c r="E5" s="215"/>
      <c r="F5" s="147"/>
      <c r="G5" s="147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</row>
    <row r="6" spans="1:27" ht="12.75">
      <c r="A6" s="213"/>
      <c r="B6" s="214"/>
      <c r="C6" s="214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</row>
    <row r="7" spans="1:27" ht="13.5" thickBo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</row>
    <row r="8" spans="1:27" ht="12.75">
      <c r="A8" s="213"/>
      <c r="B8" s="428" t="s">
        <v>79</v>
      </c>
      <c r="C8" s="429">
        <v>0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</row>
    <row r="9" spans="1:27" ht="13.5" thickBot="1">
      <c r="A9" s="213"/>
      <c r="B9" s="428"/>
      <c r="C9" s="430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</row>
    <row r="10" spans="1:27" ht="13.5" thickBo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</row>
    <row r="11" spans="1:27" ht="18.75" thickBot="1">
      <c r="A11" s="213"/>
      <c r="B11" s="150" t="s">
        <v>78</v>
      </c>
      <c r="C11" s="151">
        <f>(Grunddaten!B73-(Grunddaten!B72+C8))/(Grunddaten!B74-Grunddaten!B75)</f>
        <v>9.72731779871096</v>
      </c>
      <c r="D11" s="213"/>
      <c r="E11" s="213"/>
      <c r="F11" s="148" t="s">
        <v>76</v>
      </c>
      <c r="G11" s="149">
        <f>Grunddaten!V78-C8</f>
        <v>11511.111111111102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</row>
    <row r="12" spans="1:27" ht="12.7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</row>
    <row r="13" spans="1:27" ht="12.75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</row>
    <row r="14" spans="1:27" ht="12.75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</row>
    <row r="15" spans="1:27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</row>
    <row r="16" spans="1:27" ht="12.7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</row>
    <row r="17" spans="1:27" ht="12.7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ht="12.7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</row>
    <row r="19" spans="1:27" ht="12.7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</row>
    <row r="20" spans="1:27" ht="12.7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</row>
    <row r="21" spans="1:27" ht="12.7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</row>
    <row r="22" spans="1:27" ht="12.7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</row>
    <row r="23" spans="1:27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</row>
    <row r="24" spans="1:27" ht="12.7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</row>
    <row r="25" spans="1:27" ht="12.75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</row>
    <row r="26" spans="1:27" ht="12.75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</row>
    <row r="27" spans="1:27" ht="12.75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</row>
    <row r="28" spans="1:27" ht="12.75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</row>
    <row r="29" spans="1:27" ht="12.75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</row>
    <row r="30" spans="1:27" ht="12.7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</row>
    <row r="31" spans="1:27" ht="12.75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</row>
    <row r="32" spans="1:27" ht="12.75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</row>
    <row r="33" spans="1:27" ht="12.7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</row>
    <row r="34" spans="1:27" ht="12.75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</row>
    <row r="35" spans="1:27" ht="12.75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</row>
    <row r="36" spans="1:27" ht="12.75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</row>
    <row r="37" spans="1:27" ht="12.75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</row>
    <row r="38" spans="1:27" ht="12.75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</row>
    <row r="39" spans="1:27" ht="12.7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</row>
    <row r="40" spans="1:27" ht="12.7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</row>
    <row r="41" spans="1:27" ht="12.7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</row>
    <row r="42" spans="1:27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</row>
    <row r="43" spans="1:27" ht="12.7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</row>
    <row r="44" spans="1:27" ht="12.7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</row>
    <row r="45" spans="1:27" ht="12.7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</row>
    <row r="46" spans="1:27" ht="12.7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</row>
    <row r="47" spans="1:27" ht="12.75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</row>
    <row r="48" spans="1:27" ht="12.75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</row>
    <row r="49" spans="1:27" ht="12.75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</row>
    <row r="50" spans="1:27" ht="12.75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</row>
    <row r="51" spans="1:27" ht="12.75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</row>
    <row r="52" spans="1:27" ht="12.75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</row>
    <row r="53" spans="1:27" ht="12.75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</row>
    <row r="54" spans="1:27" ht="12.75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</row>
    <row r="55" spans="1:27" ht="12.75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</row>
    <row r="56" spans="1:27" ht="12.75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</row>
    <row r="57" spans="1:27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</row>
    <row r="58" spans="1:27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</row>
    <row r="59" spans="1:27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</row>
    <row r="60" spans="1:27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</row>
    <row r="61" spans="1:27" ht="12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</row>
    <row r="62" spans="1:27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</row>
    <row r="63" spans="1:27" ht="12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</row>
    <row r="64" spans="1:27" ht="12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</row>
    <row r="65" spans="1:27" ht="12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</row>
    <row r="66" spans="1:27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</row>
    <row r="67" spans="1:27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</row>
    <row r="68" spans="1:27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</row>
    <row r="69" spans="1:27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</row>
    <row r="70" spans="1:27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</row>
  </sheetData>
  <sheetProtection password="EF7E" sheet="1" objects="1" scenarios="1" selectLockedCells="1"/>
  <mergeCells count="3">
    <mergeCell ref="B8:B9"/>
    <mergeCell ref="C8:C9"/>
    <mergeCell ref="B1:F4"/>
  </mergeCells>
  <printOptions/>
  <pageMargins left="0.3937007874015748" right="0.2362204724409449" top="0.67" bottom="0.76" header="0.5118110236220472" footer="0.5118110236220472"/>
  <pageSetup horizontalDpi="300" verticalDpi="3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2"/>
  <sheetViews>
    <sheetView zoomScale="111" zoomScaleNormal="111" zoomScalePageLayoutView="0" workbookViewId="0" topLeftCell="A1">
      <selection activeCell="M20" sqref="M20"/>
    </sheetView>
  </sheetViews>
  <sheetFormatPr defaultColWidth="11.421875" defaultRowHeight="12.75"/>
  <cols>
    <col min="1" max="1" width="2.421875" style="28" customWidth="1"/>
    <col min="2" max="2" width="2.00390625" style="28" customWidth="1"/>
    <col min="3" max="3" width="17.7109375" style="28" customWidth="1"/>
    <col min="4" max="4" width="2.00390625" style="28" customWidth="1"/>
    <col min="5" max="5" width="17.421875" style="28" customWidth="1"/>
    <col min="6" max="6" width="2.00390625" style="28" customWidth="1"/>
    <col min="7" max="7" width="19.00390625" style="28" customWidth="1"/>
    <col min="8" max="8" width="2.00390625" style="28" customWidth="1"/>
    <col min="9" max="9" width="23.00390625" style="28" customWidth="1"/>
    <col min="10" max="10" width="2.00390625" style="28" customWidth="1"/>
    <col min="11" max="11" width="17.140625" style="28" customWidth="1"/>
    <col min="12" max="12" width="1.57421875" style="28" customWidth="1"/>
    <col min="13" max="13" width="15.140625" style="28" customWidth="1"/>
    <col min="14" max="14" width="1.7109375" style="28" customWidth="1"/>
    <col min="15" max="15" width="8.7109375" style="28" customWidth="1"/>
    <col min="16" max="16" width="2.00390625" style="28" customWidth="1"/>
    <col min="17" max="17" width="16.421875" style="28" customWidth="1"/>
    <col min="18" max="18" width="2.00390625" style="28" customWidth="1"/>
    <col min="19" max="19" width="1.421875" style="28" customWidth="1"/>
    <col min="20" max="20" width="3.57421875" style="28" customWidth="1"/>
    <col min="21" max="21" width="11.421875" style="28" customWidth="1"/>
    <col min="22" max="22" width="20.8515625" style="28" customWidth="1"/>
    <col min="23" max="28" width="11.421875" style="28" customWidth="1"/>
    <col min="29" max="29" width="14.7109375" style="28" customWidth="1"/>
    <col min="30" max="30" width="10.00390625" style="28" customWidth="1"/>
    <col min="31" max="31" width="12.28125" style="28" customWidth="1"/>
    <col min="32" max="16384" width="11.421875" style="28" customWidth="1"/>
  </cols>
  <sheetData>
    <row r="1" spans="1:26" ht="12.75" customHeight="1" thickBo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</row>
    <row r="2" spans="1:26" ht="36" customHeight="1">
      <c r="A2" s="191"/>
      <c r="B2" s="53"/>
      <c r="C2" s="402" t="s">
        <v>117</v>
      </c>
      <c r="D2" s="402"/>
      <c r="E2" s="402"/>
      <c r="F2" s="402"/>
      <c r="G2" s="402"/>
      <c r="H2" s="96"/>
      <c r="I2" s="56"/>
      <c r="J2" s="57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9.75" customHeight="1">
      <c r="A3" s="191"/>
      <c r="B3" s="58"/>
      <c r="C3" s="97"/>
      <c r="D3" s="97"/>
      <c r="E3" s="97"/>
      <c r="F3" s="97"/>
      <c r="G3" s="97"/>
      <c r="H3" s="97"/>
      <c r="I3" s="63"/>
      <c r="J3" s="59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ht="9" customHeight="1" thickBot="1">
      <c r="A4" s="191"/>
      <c r="B4" s="58"/>
      <c r="C4" s="97"/>
      <c r="D4" s="97"/>
      <c r="E4" s="97"/>
      <c r="F4" s="97"/>
      <c r="G4" s="97"/>
      <c r="H4" s="97"/>
      <c r="I4" s="63"/>
      <c r="J4" s="59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</row>
    <row r="5" spans="1:26" ht="23.25" customHeight="1" thickBot="1">
      <c r="A5" s="191"/>
      <c r="B5" s="58"/>
      <c r="C5" s="432" t="s">
        <v>118</v>
      </c>
      <c r="D5" s="432"/>
      <c r="E5" s="432"/>
      <c r="F5" s="98"/>
      <c r="G5" s="252">
        <f>Heizkosten!G5</f>
        <v>14.973262032085557</v>
      </c>
      <c r="H5" s="63"/>
      <c r="I5" s="256">
        <f>Heizkosten!I5</f>
        <v>25454.54545454545</v>
      </c>
      <c r="J5" s="59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</row>
    <row r="6" spans="1:26" ht="10.5" customHeight="1" thickBot="1">
      <c r="A6" s="191"/>
      <c r="B6" s="58"/>
      <c r="C6" s="64"/>
      <c r="D6" s="102"/>
      <c r="E6" s="63"/>
      <c r="F6" s="63"/>
      <c r="G6" s="63"/>
      <c r="H6" s="63"/>
      <c r="I6" s="63"/>
      <c r="J6" s="59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</row>
    <row r="7" spans="1:26" ht="19.5" customHeight="1" thickBot="1">
      <c r="A7" s="191"/>
      <c r="B7" s="58"/>
      <c r="C7" s="405" t="s">
        <v>67</v>
      </c>
      <c r="D7" s="406"/>
      <c r="E7" s="407"/>
      <c r="F7" s="107"/>
      <c r="G7" s="108" t="s">
        <v>119</v>
      </c>
      <c r="H7" s="107"/>
      <c r="I7" s="108" t="s">
        <v>152</v>
      </c>
      <c r="J7" s="59"/>
      <c r="K7" s="192"/>
      <c r="L7" s="191"/>
      <c r="M7" s="191"/>
      <c r="N7" s="191"/>
      <c r="O7" s="191"/>
      <c r="P7" s="191"/>
      <c r="Q7" s="191"/>
      <c r="R7" s="191"/>
      <c r="S7" s="192"/>
      <c r="T7" s="191"/>
      <c r="U7" s="191"/>
      <c r="V7" s="191"/>
      <c r="W7" s="191"/>
      <c r="X7" s="191"/>
      <c r="Y7" s="191"/>
      <c r="Z7" s="191"/>
    </row>
    <row r="8" spans="1:26" ht="7.5" customHeight="1">
      <c r="A8" s="191"/>
      <c r="B8" s="58"/>
      <c r="C8" s="67"/>
      <c r="D8" s="67"/>
      <c r="E8" s="66"/>
      <c r="F8" s="67"/>
      <c r="G8" s="66"/>
      <c r="H8" s="67"/>
      <c r="I8" s="103"/>
      <c r="J8" s="68"/>
      <c r="K8" s="193"/>
      <c r="L8" s="191"/>
      <c r="M8" s="191"/>
      <c r="N8" s="191"/>
      <c r="O8" s="191"/>
      <c r="P8" s="191"/>
      <c r="Q8" s="191"/>
      <c r="R8" s="191"/>
      <c r="S8" s="197"/>
      <c r="T8" s="191"/>
      <c r="U8" s="191"/>
      <c r="V8" s="191"/>
      <c r="W8" s="191"/>
      <c r="X8" s="191"/>
      <c r="Y8" s="191"/>
      <c r="Z8" s="191"/>
    </row>
    <row r="9" spans="1:26" ht="18" customHeight="1">
      <c r="A9" s="191"/>
      <c r="B9" s="58"/>
      <c r="C9" s="404" t="s">
        <v>37</v>
      </c>
      <c r="D9" s="404"/>
      <c r="E9" s="404"/>
      <c r="F9" s="99"/>
      <c r="G9" s="237">
        <f>$I$5*0.000035</f>
        <v>0.8909090909090907</v>
      </c>
      <c r="H9" s="99"/>
      <c r="I9" s="243">
        <f>$I$5*0.000054</f>
        <v>1.374545454545454</v>
      </c>
      <c r="J9" s="59"/>
      <c r="K9" s="194"/>
      <c r="L9" s="191"/>
      <c r="M9" s="191"/>
      <c r="N9" s="191"/>
      <c r="O9" s="191"/>
      <c r="P9" s="191"/>
      <c r="Q9" s="191"/>
      <c r="R9" s="191"/>
      <c r="S9" s="194"/>
      <c r="T9" s="191"/>
      <c r="U9" s="191"/>
      <c r="V9" s="191"/>
      <c r="W9" s="191"/>
      <c r="X9" s="191"/>
      <c r="Y9" s="191"/>
      <c r="Z9" s="191"/>
    </row>
    <row r="10" spans="1:26" ht="7.5" customHeight="1">
      <c r="A10" s="191"/>
      <c r="B10" s="58"/>
      <c r="C10" s="393"/>
      <c r="D10" s="393"/>
      <c r="E10" s="393"/>
      <c r="F10" s="71"/>
      <c r="G10" s="70"/>
      <c r="H10" s="71"/>
      <c r="I10" s="104"/>
      <c r="J10" s="73"/>
      <c r="K10" s="194"/>
      <c r="L10" s="191"/>
      <c r="M10" s="191"/>
      <c r="N10" s="191"/>
      <c r="O10" s="191"/>
      <c r="P10" s="191"/>
      <c r="Q10" s="191"/>
      <c r="R10" s="191"/>
      <c r="S10" s="198"/>
      <c r="T10" s="191"/>
      <c r="U10" s="191"/>
      <c r="V10" s="191"/>
      <c r="W10" s="191"/>
      <c r="X10" s="191"/>
      <c r="Y10" s="191"/>
      <c r="Z10" s="191"/>
    </row>
    <row r="11" spans="1:26" ht="15.75" customHeight="1">
      <c r="A11" s="191"/>
      <c r="B11" s="58"/>
      <c r="C11" s="408" t="s">
        <v>38</v>
      </c>
      <c r="D11" s="408"/>
      <c r="E11" s="408"/>
      <c r="F11" s="100"/>
      <c r="G11" s="238">
        <f>I$5*0.00004</f>
        <v>1.018181818181818</v>
      </c>
      <c r="H11" s="100"/>
      <c r="I11" s="248">
        <f>$I$5*0.000036</f>
        <v>0.9163636363636362</v>
      </c>
      <c r="J11" s="73"/>
      <c r="K11" s="194"/>
      <c r="L11" s="191"/>
      <c r="M11" s="191"/>
      <c r="N11" s="191"/>
      <c r="O11" s="191"/>
      <c r="P11" s="191"/>
      <c r="Q11" s="191"/>
      <c r="R11" s="191"/>
      <c r="S11" s="194"/>
      <c r="T11" s="191"/>
      <c r="U11" s="191"/>
      <c r="V11" s="191"/>
      <c r="W11" s="191"/>
      <c r="X11" s="191"/>
      <c r="Y11" s="191"/>
      <c r="Z11" s="191"/>
    </row>
    <row r="12" spans="1:26" ht="7.5" customHeight="1">
      <c r="A12" s="191"/>
      <c r="B12" s="58"/>
      <c r="C12" s="393"/>
      <c r="D12" s="393"/>
      <c r="E12" s="393"/>
      <c r="F12" s="71"/>
      <c r="G12" s="105"/>
      <c r="H12" s="101"/>
      <c r="I12" s="101"/>
      <c r="J12" s="73"/>
      <c r="K12" s="194"/>
      <c r="L12" s="191"/>
      <c r="M12" s="191"/>
      <c r="N12" s="191"/>
      <c r="O12" s="191"/>
      <c r="P12" s="191"/>
      <c r="Q12" s="191"/>
      <c r="R12" s="191"/>
      <c r="S12" s="198"/>
      <c r="T12" s="191"/>
      <c r="U12" s="191"/>
      <c r="V12" s="191"/>
      <c r="W12" s="191"/>
      <c r="X12" s="191"/>
      <c r="Y12" s="191"/>
      <c r="Z12" s="191"/>
    </row>
    <row r="13" spans="1:26" ht="15.75" customHeight="1">
      <c r="A13" s="191"/>
      <c r="B13" s="58"/>
      <c r="C13" s="392" t="s">
        <v>65</v>
      </c>
      <c r="D13" s="392"/>
      <c r="E13" s="392"/>
      <c r="F13" s="100"/>
      <c r="G13" s="239">
        <f>I$5*0.000035</f>
        <v>0.8909090909090907</v>
      </c>
      <c r="H13" s="100"/>
      <c r="I13" s="247">
        <f>$I$5*0.000324</f>
        <v>8.247272727272726</v>
      </c>
      <c r="J13" s="73"/>
      <c r="K13" s="194"/>
      <c r="L13" s="191"/>
      <c r="M13" s="191"/>
      <c r="N13" s="191"/>
      <c r="O13" s="191"/>
      <c r="P13" s="191"/>
      <c r="Q13" s="191"/>
      <c r="R13" s="191"/>
      <c r="S13" s="194"/>
      <c r="T13" s="191"/>
      <c r="U13" s="191"/>
      <c r="V13" s="191"/>
      <c r="W13" s="191"/>
      <c r="X13" s="191"/>
      <c r="Y13" s="191"/>
      <c r="Z13" s="191"/>
    </row>
    <row r="14" spans="1:26" ht="7.5" customHeight="1">
      <c r="A14" s="191"/>
      <c r="B14" s="58"/>
      <c r="C14" s="393"/>
      <c r="D14" s="393"/>
      <c r="E14" s="393"/>
      <c r="F14" s="71"/>
      <c r="G14" s="70"/>
      <c r="H14" s="71"/>
      <c r="I14" s="70"/>
      <c r="J14" s="73"/>
      <c r="K14" s="194"/>
      <c r="L14" s="191"/>
      <c r="M14" s="191"/>
      <c r="N14" s="191"/>
      <c r="O14" s="191"/>
      <c r="P14" s="191"/>
      <c r="Q14" s="191"/>
      <c r="R14" s="191"/>
      <c r="S14" s="198"/>
      <c r="T14" s="191"/>
      <c r="U14" s="191"/>
      <c r="V14" s="191"/>
      <c r="W14" s="191"/>
      <c r="X14" s="191"/>
      <c r="Y14" s="191"/>
      <c r="Z14" s="191"/>
    </row>
    <row r="15" spans="1:26" ht="15.75" customHeight="1">
      <c r="A15" s="191"/>
      <c r="B15" s="58"/>
      <c r="C15" s="392" t="s">
        <v>127</v>
      </c>
      <c r="D15" s="392"/>
      <c r="E15" s="392"/>
      <c r="F15" s="71"/>
      <c r="G15" s="239">
        <f>I$5*0.000035</f>
        <v>0.8909090909090907</v>
      </c>
      <c r="H15" s="71"/>
      <c r="I15" s="247">
        <f>$I$5*0.00006</f>
        <v>1.527272727272727</v>
      </c>
      <c r="J15" s="73"/>
      <c r="K15" s="194"/>
      <c r="L15" s="191"/>
      <c r="M15" s="191"/>
      <c r="N15" s="191"/>
      <c r="O15" s="191"/>
      <c r="P15" s="191"/>
      <c r="Q15" s="191"/>
      <c r="R15" s="191"/>
      <c r="S15" s="198"/>
      <c r="T15" s="191"/>
      <c r="U15" s="191"/>
      <c r="V15" s="191"/>
      <c r="W15" s="191"/>
      <c r="X15" s="191"/>
      <c r="Y15" s="191"/>
      <c r="Z15" s="191"/>
    </row>
    <row r="16" spans="1:26" ht="7.5" customHeight="1">
      <c r="A16" s="191"/>
      <c r="B16" s="58"/>
      <c r="C16" s="104"/>
      <c r="D16" s="104"/>
      <c r="E16" s="104"/>
      <c r="F16" s="71"/>
      <c r="G16" s="70"/>
      <c r="H16" s="71"/>
      <c r="I16" s="70"/>
      <c r="J16" s="73"/>
      <c r="K16" s="194"/>
      <c r="L16" s="191"/>
      <c r="M16" s="191"/>
      <c r="N16" s="191"/>
      <c r="O16" s="191"/>
      <c r="P16" s="191"/>
      <c r="Q16" s="191"/>
      <c r="R16" s="191"/>
      <c r="S16" s="198"/>
      <c r="T16" s="191"/>
      <c r="U16" s="191"/>
      <c r="V16" s="191"/>
      <c r="W16" s="191"/>
      <c r="X16" s="191"/>
      <c r="Y16" s="191"/>
      <c r="Z16" s="191"/>
    </row>
    <row r="17" spans="1:26" ht="15">
      <c r="A17" s="191"/>
      <c r="B17" s="58"/>
      <c r="C17" s="394" t="s">
        <v>39</v>
      </c>
      <c r="D17" s="394"/>
      <c r="E17" s="394"/>
      <c r="F17" s="100"/>
      <c r="G17" s="240">
        <f>I$5*0.000237</f>
        <v>6.032727272727271</v>
      </c>
      <c r="H17" s="100"/>
      <c r="I17" s="246">
        <f>$I$5*0.00001</f>
        <v>0.2545454545454545</v>
      </c>
      <c r="J17" s="73"/>
      <c r="K17" s="194"/>
      <c r="L17" s="191"/>
      <c r="M17" s="191"/>
      <c r="N17" s="191"/>
      <c r="O17" s="191"/>
      <c r="P17" s="191"/>
      <c r="Q17" s="191"/>
      <c r="R17" s="191"/>
      <c r="S17" s="194"/>
      <c r="T17" s="191"/>
      <c r="U17" s="191"/>
      <c r="V17" s="191"/>
      <c r="W17" s="191"/>
      <c r="X17" s="191"/>
      <c r="Y17" s="191"/>
      <c r="Z17" s="191"/>
    </row>
    <row r="18" spans="1:26" ht="7.5" customHeight="1">
      <c r="A18" s="191"/>
      <c r="B18" s="58"/>
      <c r="C18" s="393"/>
      <c r="D18" s="393"/>
      <c r="E18" s="393"/>
      <c r="F18" s="71"/>
      <c r="G18" s="70"/>
      <c r="H18" s="71"/>
      <c r="I18" s="70"/>
      <c r="J18" s="73"/>
      <c r="K18" s="194"/>
      <c r="L18" s="191"/>
      <c r="M18" s="191"/>
      <c r="N18" s="191"/>
      <c r="O18" s="191"/>
      <c r="P18" s="191"/>
      <c r="Q18" s="191"/>
      <c r="R18" s="191"/>
      <c r="S18" s="198"/>
      <c r="T18" s="191"/>
      <c r="U18" s="191"/>
      <c r="V18" s="191"/>
      <c r="W18" s="191"/>
      <c r="X18" s="191"/>
      <c r="Y18" s="191"/>
      <c r="Z18" s="191"/>
    </row>
    <row r="19" spans="1:26" ht="15">
      <c r="A19" s="191"/>
      <c r="B19" s="58"/>
      <c r="C19" s="395" t="s">
        <v>40</v>
      </c>
      <c r="D19" s="395"/>
      <c r="E19" s="395"/>
      <c r="F19" s="100"/>
      <c r="G19" s="241">
        <f>I$5*0.000332</f>
        <v>8.45090909090909</v>
      </c>
      <c r="H19" s="100"/>
      <c r="I19" s="245">
        <f>$I$5*0.000015</f>
        <v>0.3818181818181817</v>
      </c>
      <c r="J19" s="73"/>
      <c r="K19" s="194"/>
      <c r="L19" s="191"/>
      <c r="M19" s="191"/>
      <c r="N19" s="191"/>
      <c r="O19" s="191"/>
      <c r="P19" s="191"/>
      <c r="Q19" s="191"/>
      <c r="R19" s="191"/>
      <c r="S19" s="194"/>
      <c r="T19" s="191"/>
      <c r="U19" s="191"/>
      <c r="V19" s="191"/>
      <c r="W19" s="191"/>
      <c r="X19" s="191"/>
      <c r="Y19" s="191"/>
      <c r="Z19" s="191"/>
    </row>
    <row r="20" spans="1:26" ht="7.5" customHeight="1">
      <c r="A20" s="191"/>
      <c r="B20" s="58"/>
      <c r="C20" s="393"/>
      <c r="D20" s="393"/>
      <c r="E20" s="393"/>
      <c r="F20" s="71"/>
      <c r="G20" s="70"/>
      <c r="H20" s="71"/>
      <c r="I20" s="70"/>
      <c r="J20" s="73"/>
      <c r="K20" s="194"/>
      <c r="L20" s="191"/>
      <c r="M20" s="191"/>
      <c r="N20" s="191"/>
      <c r="O20" s="191"/>
      <c r="P20" s="191"/>
      <c r="Q20" s="191"/>
      <c r="R20" s="191"/>
      <c r="S20" s="194"/>
      <c r="T20" s="191"/>
      <c r="U20" s="191"/>
      <c r="V20" s="191"/>
      <c r="W20" s="191"/>
      <c r="X20" s="191"/>
      <c r="Y20" s="191"/>
      <c r="Z20" s="191"/>
    </row>
    <row r="21" spans="1:26" ht="15">
      <c r="A21" s="191"/>
      <c r="B21" s="58"/>
      <c r="C21" s="382" t="s">
        <v>41</v>
      </c>
      <c r="D21" s="382"/>
      <c r="E21" s="382"/>
      <c r="F21" s="100"/>
      <c r="G21" s="242">
        <f>I$5*0.0002</f>
        <v>5.09090909090909</v>
      </c>
      <c r="H21" s="100"/>
      <c r="I21" s="244">
        <f>$I$5*0.000012</f>
        <v>0.30545454545454537</v>
      </c>
      <c r="J21" s="73"/>
      <c r="K21" s="194"/>
      <c r="L21" s="191"/>
      <c r="M21" s="191"/>
      <c r="N21" s="191"/>
      <c r="O21" s="191"/>
      <c r="P21" s="191"/>
      <c r="Q21" s="191"/>
      <c r="R21" s="191"/>
      <c r="S21" s="194"/>
      <c r="T21" s="191"/>
      <c r="U21" s="191"/>
      <c r="V21" s="191"/>
      <c r="W21" s="191"/>
      <c r="X21" s="191"/>
      <c r="Y21" s="191"/>
      <c r="Z21" s="191"/>
    </row>
    <row r="22" spans="1:26" ht="7.5" customHeight="1" thickBot="1">
      <c r="A22" s="191"/>
      <c r="B22" s="60"/>
      <c r="C22" s="383"/>
      <c r="D22" s="383"/>
      <c r="E22" s="383"/>
      <c r="F22" s="61"/>
      <c r="G22" s="106"/>
      <c r="H22" s="61"/>
      <c r="I22" s="61"/>
      <c r="J22" s="62"/>
      <c r="K22" s="195"/>
      <c r="L22" s="191"/>
      <c r="M22" s="191"/>
      <c r="N22" s="191"/>
      <c r="O22" s="191"/>
      <c r="P22" s="191"/>
      <c r="Q22" s="191"/>
      <c r="R22" s="191"/>
      <c r="S22" s="198"/>
      <c r="T22" s="191"/>
      <c r="U22" s="191"/>
      <c r="V22" s="191"/>
      <c r="W22" s="191"/>
      <c r="X22" s="191"/>
      <c r="Y22" s="191"/>
      <c r="Z22" s="191"/>
    </row>
    <row r="23" spans="1:26" ht="12.75" customHeight="1">
      <c r="A23" s="191"/>
      <c r="B23" s="191"/>
      <c r="C23" s="196"/>
      <c r="D23" s="196"/>
      <c r="E23" s="196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</row>
    <row r="24" spans="1:26" ht="13.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</row>
    <row r="25" spans="1:26" ht="12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</row>
    <row r="26" spans="1:26" ht="12.7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9"/>
      <c r="T26" s="191"/>
      <c r="U26" s="191"/>
      <c r="V26" s="191"/>
      <c r="W26" s="191"/>
      <c r="X26" s="191"/>
      <c r="Y26" s="191"/>
      <c r="Z26" s="191"/>
    </row>
    <row r="27" spans="1:26" ht="16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9"/>
      <c r="T27" s="191"/>
      <c r="U27" s="191"/>
      <c r="V27" s="191"/>
      <c r="W27" s="191"/>
      <c r="X27" s="191"/>
      <c r="Y27" s="191"/>
      <c r="Z27" s="191"/>
    </row>
    <row r="28" spans="1:26" ht="17.2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9"/>
      <c r="T28" s="191"/>
      <c r="U28" s="191"/>
      <c r="V28" s="191"/>
      <c r="W28" s="191"/>
      <c r="X28" s="191"/>
      <c r="Y28" s="191"/>
      <c r="Z28" s="191"/>
    </row>
    <row r="29" spans="1:26" ht="17.2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</row>
    <row r="30" spans="1:26" ht="17.2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0"/>
      <c r="T30" s="191"/>
      <c r="U30" s="191"/>
      <c r="V30" s="191"/>
      <c r="W30" s="191"/>
      <c r="X30" s="191"/>
      <c r="Y30" s="191"/>
      <c r="Z30" s="191"/>
    </row>
    <row r="31" spans="1:26" ht="17.25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</row>
    <row r="32" spans="1:26" ht="17.2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</row>
    <row r="33" spans="1:26" ht="9.75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</row>
    <row r="34" spans="1:26" ht="18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</row>
    <row r="35" spans="1:26" ht="12.75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</row>
    <row r="36" spans="1:26" ht="21.7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</row>
    <row r="37" spans="1:26" ht="23.2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</row>
    <row r="38" spans="1:26" ht="12.7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</row>
    <row r="39" spans="1:26" ht="12.75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</row>
    <row r="40" spans="1:26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</row>
    <row r="41" spans="1:26" ht="12.75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</row>
    <row r="42" spans="1:26" ht="12.7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</row>
    <row r="43" spans="1:26" ht="12.7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</row>
    <row r="44" spans="1:26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</row>
    <row r="45" spans="1:26" ht="12.7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</row>
    <row r="46" spans="1:26" ht="12.75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</row>
    <row r="47" spans="1:26" ht="12.75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</row>
    <row r="48" spans="1:26" ht="12.75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</row>
    <row r="49" spans="1:26" ht="12.75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</row>
    <row r="50" spans="1:26" ht="12.75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</row>
    <row r="51" spans="1:26" ht="12.75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</row>
    <row r="52" spans="1:26" ht="12.75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</row>
  </sheetData>
  <sheetProtection password="EF7E" sheet="1" objects="1" scenarios="1" selectLockedCells="1"/>
  <mergeCells count="16">
    <mergeCell ref="C20:E20"/>
    <mergeCell ref="C21:E21"/>
    <mergeCell ref="C22:E22"/>
    <mergeCell ref="C14:E14"/>
    <mergeCell ref="C17:E17"/>
    <mergeCell ref="C18:E18"/>
    <mergeCell ref="C19:E19"/>
    <mergeCell ref="C15:E15"/>
    <mergeCell ref="C12:E12"/>
    <mergeCell ref="C13:E13"/>
    <mergeCell ref="C2:G2"/>
    <mergeCell ref="C5:E5"/>
    <mergeCell ref="C9:E9"/>
    <mergeCell ref="C7:E7"/>
    <mergeCell ref="C10:E10"/>
    <mergeCell ref="C11:E11"/>
  </mergeCells>
  <printOptions/>
  <pageMargins left="0.35433070866141736" right="0" top="0.47" bottom="0" header="0" footer="0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32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22.7109375" style="0" customWidth="1"/>
    <col min="8" max="8" width="15.28125" style="0" customWidth="1"/>
    <col min="9" max="9" width="13.00390625" style="0" bestFit="1" customWidth="1"/>
    <col min="11" max="11" width="13.00390625" style="0" bestFit="1" customWidth="1"/>
    <col min="12" max="12" width="13.140625" style="0" customWidth="1"/>
  </cols>
  <sheetData>
    <row r="1" spans="1:26" ht="26.25" thickBot="1">
      <c r="A1" s="257" t="s">
        <v>94</v>
      </c>
      <c r="B1" s="257"/>
      <c r="C1" s="257"/>
      <c r="D1" s="257"/>
      <c r="E1" s="352" t="s">
        <v>7</v>
      </c>
      <c r="F1" s="259"/>
      <c r="G1" s="353">
        <v>12.5</v>
      </c>
      <c r="H1" s="260"/>
      <c r="I1" s="258"/>
      <c r="J1" s="258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</row>
    <row r="2" spans="1:26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</row>
    <row r="3" spans="1:26" ht="12.75">
      <c r="A3" s="8" t="s">
        <v>0</v>
      </c>
      <c r="B3" s="23" t="s">
        <v>3</v>
      </c>
      <c r="C3" s="24"/>
      <c r="D3" s="23" t="s">
        <v>4</v>
      </c>
      <c r="E3" s="24"/>
      <c r="F3" s="23" t="s">
        <v>65</v>
      </c>
      <c r="G3" s="24"/>
      <c r="H3" s="23" t="s">
        <v>13</v>
      </c>
      <c r="I3" s="24"/>
      <c r="J3" s="23" t="s">
        <v>5</v>
      </c>
      <c r="K3" s="24"/>
      <c r="L3" s="23" t="s">
        <v>6</v>
      </c>
      <c r="M3" s="24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</row>
    <row r="4" spans="1:26" ht="12.75">
      <c r="A4" s="1" t="s">
        <v>1</v>
      </c>
      <c r="B4" s="2"/>
      <c r="C4" s="354">
        <v>216</v>
      </c>
      <c r="D4" s="3"/>
      <c r="E4" s="355">
        <v>180</v>
      </c>
      <c r="F4" s="4"/>
      <c r="G4" s="356">
        <v>180</v>
      </c>
      <c r="H4" s="5"/>
      <c r="I4" s="357">
        <v>165</v>
      </c>
      <c r="J4" s="6"/>
      <c r="K4" s="358">
        <v>165</v>
      </c>
      <c r="L4" s="7"/>
      <c r="M4" s="359">
        <v>90</v>
      </c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</row>
    <row r="5" spans="1:26" ht="12.75">
      <c r="A5" s="1" t="s">
        <v>122</v>
      </c>
      <c r="B5" s="2"/>
      <c r="C5" s="354">
        <v>130</v>
      </c>
      <c r="D5" s="3"/>
      <c r="E5" s="355">
        <v>90</v>
      </c>
      <c r="F5" s="4"/>
      <c r="G5" s="356">
        <v>90</v>
      </c>
      <c r="H5" s="5"/>
      <c r="I5" s="357">
        <v>90</v>
      </c>
      <c r="J5" s="6"/>
      <c r="K5" s="358">
        <v>150</v>
      </c>
      <c r="L5" s="7" t="s">
        <v>11</v>
      </c>
      <c r="M5" s="359">
        <v>40</v>
      </c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</row>
    <row r="6" spans="1:26" ht="12.75">
      <c r="A6" s="1" t="s">
        <v>9</v>
      </c>
      <c r="B6" s="2"/>
      <c r="C6" s="354">
        <v>31</v>
      </c>
      <c r="D6" s="90"/>
      <c r="E6" s="355">
        <v>31</v>
      </c>
      <c r="F6" s="91"/>
      <c r="G6" s="356">
        <v>31</v>
      </c>
      <c r="H6" s="5"/>
      <c r="I6" s="357">
        <v>21</v>
      </c>
      <c r="J6" s="6"/>
      <c r="K6" s="358">
        <v>23</v>
      </c>
      <c r="L6" s="7"/>
      <c r="M6" s="359">
        <v>0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</row>
    <row r="7" spans="1:26" ht="13.5" thickBo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</row>
    <row r="8" spans="1:26" ht="26.25" thickBot="1">
      <c r="A8" s="257"/>
      <c r="B8" s="257"/>
      <c r="C8" s="257"/>
      <c r="D8" s="257"/>
      <c r="E8" s="352" t="s">
        <v>7</v>
      </c>
      <c r="F8" s="259"/>
      <c r="G8" s="353">
        <v>25</v>
      </c>
      <c r="H8" s="260"/>
      <c r="I8" s="258"/>
      <c r="J8" s="258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12.7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12.75">
      <c r="A10" s="8" t="s">
        <v>0</v>
      </c>
      <c r="B10" s="23" t="s">
        <v>3</v>
      </c>
      <c r="C10" s="24"/>
      <c r="D10" s="23" t="s">
        <v>4</v>
      </c>
      <c r="E10" s="24"/>
      <c r="F10" s="23" t="s">
        <v>65</v>
      </c>
      <c r="G10" s="24"/>
      <c r="H10" s="23" t="s">
        <v>13</v>
      </c>
      <c r="I10" s="24"/>
      <c r="J10" s="23" t="s">
        <v>5</v>
      </c>
      <c r="K10" s="24"/>
      <c r="L10" s="23" t="s">
        <v>6</v>
      </c>
      <c r="M10" s="24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12.75">
      <c r="A11" s="1" t="s">
        <v>1</v>
      </c>
      <c r="B11" s="2"/>
      <c r="C11" s="354">
        <v>216</v>
      </c>
      <c r="D11" s="3"/>
      <c r="E11" s="355">
        <v>180</v>
      </c>
      <c r="F11" s="4"/>
      <c r="G11" s="356">
        <v>180</v>
      </c>
      <c r="H11" s="5"/>
      <c r="I11" s="357">
        <v>165</v>
      </c>
      <c r="J11" s="6"/>
      <c r="K11" s="358">
        <v>165</v>
      </c>
      <c r="L11" s="7"/>
      <c r="M11" s="359">
        <v>90</v>
      </c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12.75">
      <c r="A12" s="1" t="s">
        <v>122</v>
      </c>
      <c r="B12" s="2"/>
      <c r="C12" s="354">
        <v>150</v>
      </c>
      <c r="D12" s="3"/>
      <c r="E12" s="355">
        <v>100</v>
      </c>
      <c r="F12" s="4"/>
      <c r="G12" s="356">
        <v>100</v>
      </c>
      <c r="H12" s="5"/>
      <c r="I12" s="357">
        <v>100</v>
      </c>
      <c r="J12" s="6"/>
      <c r="K12" s="358">
        <v>200</v>
      </c>
      <c r="L12" s="7" t="s">
        <v>11</v>
      </c>
      <c r="M12" s="359">
        <v>40</v>
      </c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3" spans="1:26" ht="12.75">
      <c r="A13" s="1" t="s">
        <v>9</v>
      </c>
      <c r="B13" s="92"/>
      <c r="C13" s="354">
        <v>31</v>
      </c>
      <c r="D13" s="90"/>
      <c r="E13" s="355">
        <v>31</v>
      </c>
      <c r="F13" s="91"/>
      <c r="G13" s="356">
        <v>31</v>
      </c>
      <c r="H13" s="5"/>
      <c r="I13" s="357">
        <v>21</v>
      </c>
      <c r="J13" s="6"/>
      <c r="K13" s="358">
        <v>23</v>
      </c>
      <c r="L13" s="7"/>
      <c r="M13" s="359">
        <v>0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6" ht="13.5" thickBo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</row>
    <row r="15" spans="2:26" ht="26.25" customHeight="1" thickBot="1">
      <c r="B15" s="257"/>
      <c r="C15" s="257"/>
      <c r="D15" s="257"/>
      <c r="E15" s="352" t="s">
        <v>7</v>
      </c>
      <c r="F15" s="259"/>
      <c r="G15" s="353">
        <v>50</v>
      </c>
      <c r="H15" s="260"/>
      <c r="I15" s="258"/>
      <c r="J15" s="258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</row>
    <row r="16" spans="1:26" ht="12.7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</row>
    <row r="17" spans="1:26" ht="12.75">
      <c r="A17" s="8" t="s">
        <v>0</v>
      </c>
      <c r="B17" s="23" t="s">
        <v>3</v>
      </c>
      <c r="C17" s="24"/>
      <c r="D17" s="23" t="s">
        <v>4</v>
      </c>
      <c r="E17" s="24"/>
      <c r="F17" s="23" t="s">
        <v>65</v>
      </c>
      <c r="G17" s="24"/>
      <c r="H17" s="23" t="s">
        <v>13</v>
      </c>
      <c r="I17" s="24"/>
      <c r="J17" s="23" t="s">
        <v>5</v>
      </c>
      <c r="K17" s="24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</row>
    <row r="18" spans="1:26" ht="12.75">
      <c r="A18" s="1" t="s">
        <v>1</v>
      </c>
      <c r="B18" s="2"/>
      <c r="C18" s="354">
        <v>216</v>
      </c>
      <c r="D18" s="3"/>
      <c r="E18" s="355">
        <v>216</v>
      </c>
      <c r="F18" s="4"/>
      <c r="G18" s="356">
        <v>180</v>
      </c>
      <c r="H18" s="5"/>
      <c r="I18" s="357">
        <v>180</v>
      </c>
      <c r="J18" s="6"/>
      <c r="K18" s="358">
        <v>180</v>
      </c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</row>
    <row r="19" spans="1:26" ht="12.75">
      <c r="A19" s="1" t="s">
        <v>122</v>
      </c>
      <c r="B19" s="2"/>
      <c r="C19" s="354">
        <v>160</v>
      </c>
      <c r="D19" s="3"/>
      <c r="E19" s="355">
        <v>120</v>
      </c>
      <c r="F19" s="4"/>
      <c r="G19" s="356">
        <v>120</v>
      </c>
      <c r="H19" s="5"/>
      <c r="I19" s="357">
        <v>110</v>
      </c>
      <c r="J19" s="6"/>
      <c r="K19" s="358">
        <v>120</v>
      </c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26" ht="12.75">
      <c r="A20" s="1" t="s">
        <v>9</v>
      </c>
      <c r="B20" s="92"/>
      <c r="C20" s="354">
        <v>31</v>
      </c>
      <c r="D20" s="90"/>
      <c r="E20" s="355">
        <v>31</v>
      </c>
      <c r="F20" s="91"/>
      <c r="G20" s="356">
        <v>31</v>
      </c>
      <c r="H20" s="5"/>
      <c r="I20" s="357">
        <v>21</v>
      </c>
      <c r="J20" s="6"/>
      <c r="K20" s="358">
        <v>23</v>
      </c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26" ht="13.5" thickBo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26" ht="26.25" customHeight="1" thickBot="1">
      <c r="A22" s="257"/>
      <c r="B22" s="257"/>
      <c r="C22" s="257"/>
      <c r="D22" s="257"/>
      <c r="E22" s="352" t="s">
        <v>7</v>
      </c>
      <c r="F22" s="259"/>
      <c r="G22" s="353">
        <v>100</v>
      </c>
      <c r="H22" s="260"/>
      <c r="I22" s="258"/>
      <c r="J22" s="258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</row>
    <row r="23" spans="1:26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</row>
    <row r="24" spans="1:26" ht="12.75">
      <c r="A24" s="8" t="s">
        <v>0</v>
      </c>
      <c r="B24" s="23" t="s">
        <v>3</v>
      </c>
      <c r="C24" s="24"/>
      <c r="D24" s="23" t="s">
        <v>4</v>
      </c>
      <c r="E24" s="24"/>
      <c r="F24" s="23" t="s">
        <v>65</v>
      </c>
      <c r="G24" s="24"/>
      <c r="H24" s="23" t="s">
        <v>13</v>
      </c>
      <c r="I24" s="24"/>
      <c r="J24" s="23" t="s">
        <v>5</v>
      </c>
      <c r="K24" s="24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</row>
    <row r="25" spans="1:26" ht="12.75">
      <c r="A25" s="1" t="s">
        <v>1</v>
      </c>
      <c r="B25" s="2"/>
      <c r="C25" s="354">
        <v>252</v>
      </c>
      <c r="D25" s="3"/>
      <c r="E25" s="355">
        <v>252</v>
      </c>
      <c r="F25" s="4"/>
      <c r="G25" s="356">
        <v>210</v>
      </c>
      <c r="H25" s="5"/>
      <c r="I25" s="357">
        <v>198</v>
      </c>
      <c r="J25" s="6"/>
      <c r="K25" s="358">
        <v>198</v>
      </c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</row>
    <row r="26" spans="1:26" ht="12.75" customHeight="1">
      <c r="A26" s="1" t="s">
        <v>122</v>
      </c>
      <c r="B26" s="2"/>
      <c r="C26" s="354">
        <v>180</v>
      </c>
      <c r="D26" s="3"/>
      <c r="E26" s="355">
        <v>170</v>
      </c>
      <c r="F26" s="4"/>
      <c r="G26" s="356">
        <v>160</v>
      </c>
      <c r="H26" s="5"/>
      <c r="I26" s="357">
        <v>120</v>
      </c>
      <c r="J26" s="6"/>
      <c r="K26" s="358">
        <v>130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</row>
    <row r="27" spans="1:26" ht="12.75">
      <c r="A27" s="1" t="s">
        <v>9</v>
      </c>
      <c r="B27" s="92"/>
      <c r="C27" s="354">
        <v>42</v>
      </c>
      <c r="D27" s="90"/>
      <c r="E27" s="355">
        <v>42</v>
      </c>
      <c r="F27" s="91"/>
      <c r="G27" s="356">
        <v>42</v>
      </c>
      <c r="H27" s="5"/>
      <c r="I27" s="357">
        <v>24</v>
      </c>
      <c r="J27" s="6"/>
      <c r="K27" s="358">
        <v>32</v>
      </c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</row>
    <row r="28" spans="1:26" ht="13.5" thickBo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</row>
    <row r="29" spans="1:26" ht="26.25" thickBot="1">
      <c r="A29" s="257"/>
      <c r="B29" s="257"/>
      <c r="C29" s="257"/>
      <c r="D29" s="257"/>
      <c r="E29" s="352" t="s">
        <v>7</v>
      </c>
      <c r="F29" s="259"/>
      <c r="G29" s="353">
        <v>200</v>
      </c>
      <c r="H29" s="260"/>
      <c r="I29" s="258"/>
      <c r="J29" s="258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</row>
    <row r="30" spans="1:26" ht="12.75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</row>
    <row r="31" spans="1:26" ht="12.75">
      <c r="A31" s="8" t="s">
        <v>0</v>
      </c>
      <c r="B31" s="23" t="s">
        <v>3</v>
      </c>
      <c r="C31" s="24"/>
      <c r="D31" s="23" t="s">
        <v>4</v>
      </c>
      <c r="E31" s="24"/>
      <c r="F31" s="23" t="s">
        <v>65</v>
      </c>
      <c r="G31" s="24"/>
      <c r="H31" s="23" t="s">
        <v>13</v>
      </c>
      <c r="I31" s="24"/>
      <c r="J31" s="93" t="s">
        <v>5</v>
      </c>
      <c r="K31" s="93"/>
      <c r="L31" s="23" t="s">
        <v>6</v>
      </c>
      <c r="M31" s="24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</row>
    <row r="32" spans="1:26" ht="12.75">
      <c r="A32" s="1" t="s">
        <v>1</v>
      </c>
      <c r="B32" s="2"/>
      <c r="C32" s="354">
        <v>450</v>
      </c>
      <c r="D32" s="3"/>
      <c r="E32" s="355">
        <v>450</v>
      </c>
      <c r="F32" s="4"/>
      <c r="G32" s="356">
        <v>0</v>
      </c>
      <c r="H32" s="5"/>
      <c r="I32" s="357">
        <v>240</v>
      </c>
      <c r="J32" s="6"/>
      <c r="K32" s="358">
        <v>240</v>
      </c>
      <c r="L32" s="7"/>
      <c r="M32" s="359">
        <v>250</v>
      </c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</row>
    <row r="33" spans="1:26" ht="12.75">
      <c r="A33" s="1" t="s">
        <v>122</v>
      </c>
      <c r="B33" s="2"/>
      <c r="C33" s="354">
        <v>220</v>
      </c>
      <c r="D33" s="3"/>
      <c r="E33" s="355">
        <v>210</v>
      </c>
      <c r="F33" s="4"/>
      <c r="G33" s="356">
        <v>0</v>
      </c>
      <c r="H33" s="5"/>
      <c r="I33" s="357">
        <v>180</v>
      </c>
      <c r="J33" s="6"/>
      <c r="K33" s="358">
        <v>190</v>
      </c>
      <c r="L33" s="7" t="s">
        <v>11</v>
      </c>
      <c r="M33" s="359">
        <v>40</v>
      </c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</row>
    <row r="34" spans="1:26" ht="12.75">
      <c r="A34" s="1" t="s">
        <v>9</v>
      </c>
      <c r="B34" s="92"/>
      <c r="C34" s="354">
        <v>42</v>
      </c>
      <c r="D34" s="90"/>
      <c r="E34" s="355">
        <v>42</v>
      </c>
      <c r="F34" s="91"/>
      <c r="G34" s="356">
        <v>0</v>
      </c>
      <c r="H34" s="5"/>
      <c r="I34" s="357">
        <v>21</v>
      </c>
      <c r="J34" s="6"/>
      <c r="K34" s="358">
        <v>23</v>
      </c>
      <c r="L34" s="7"/>
      <c r="M34" s="359">
        <v>0</v>
      </c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</row>
    <row r="35" spans="1:26" ht="12.75">
      <c r="A35" s="215"/>
      <c r="B35" s="215"/>
      <c r="C35" s="222"/>
      <c r="D35" s="215"/>
      <c r="E35" s="222"/>
      <c r="F35" s="215"/>
      <c r="G35" s="222"/>
      <c r="H35" s="215"/>
      <c r="I35" s="222"/>
      <c r="J35" s="215"/>
      <c r="K35" s="222"/>
      <c r="L35" s="215"/>
      <c r="M35" s="222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</row>
    <row r="36" spans="1:26" ht="12.75">
      <c r="A36" t="s">
        <v>64</v>
      </c>
      <c r="B36" s="25">
        <f>MAXA(Berechnung!Q10,Berechnung!Q12,Berechnung!Q14,Berechnung!Q16,Berechnung!Q18,Berechnung!Q20)</f>
        <v>3476.4999999999995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</row>
    <row r="37" spans="1:26" ht="13.5" thickBot="1">
      <c r="A37" s="26" t="s">
        <v>53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</row>
    <row r="38" spans="1:26" ht="13.5" thickBot="1">
      <c r="A38" s="213"/>
      <c r="B38" s="213"/>
      <c r="C38" s="213"/>
      <c r="D38" s="213"/>
      <c r="E38" s="213"/>
      <c r="F38" s="366" t="s">
        <v>150</v>
      </c>
      <c r="G38" s="367"/>
      <c r="H38" s="368">
        <v>3.2</v>
      </c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</row>
    <row r="39" spans="1:26" ht="12.7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</row>
    <row r="40" spans="1:26" ht="12.7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</row>
    <row r="41" spans="1:26" ht="12.7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</row>
    <row r="42" spans="1:26" ht="12.7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</row>
    <row r="43" spans="1:26" ht="12.7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</row>
    <row r="44" spans="1:26" ht="12.7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</row>
    <row r="45" spans="1:26" ht="18">
      <c r="A45" s="217" t="s">
        <v>71</v>
      </c>
      <c r="B45" s="213"/>
      <c r="C45" s="213"/>
      <c r="D45" s="213"/>
      <c r="E45" s="217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</row>
    <row r="46" spans="1:26" ht="18.75" thickBot="1">
      <c r="A46" s="217"/>
      <c r="B46" s="213"/>
      <c r="C46" s="213"/>
      <c r="D46" s="213"/>
      <c r="E46" s="217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</row>
    <row r="47" spans="1:26" ht="12.75">
      <c r="A47" s="218" t="s">
        <v>102</v>
      </c>
      <c r="B47" s="216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6"/>
      <c r="W47" s="213"/>
      <c r="X47" s="213"/>
      <c r="Y47" s="213"/>
      <c r="Z47" s="213"/>
    </row>
    <row r="48" spans="1:26" ht="15">
      <c r="A48" s="219" t="s">
        <v>72</v>
      </c>
      <c r="B48" s="35">
        <f>Berechnung!$E$12*20</f>
        <v>15000</v>
      </c>
      <c r="C48" s="222"/>
      <c r="D48" s="215"/>
      <c r="E48" s="215"/>
      <c r="F48" s="215"/>
      <c r="G48" s="215"/>
      <c r="H48" s="215" t="s">
        <v>110</v>
      </c>
      <c r="I48" s="223">
        <f>B48/(Berechnung!$I$4*20)</f>
        <v>0.029464285714285724</v>
      </c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27"/>
      <c r="W48" s="213"/>
      <c r="X48" s="213"/>
      <c r="Y48" s="213"/>
      <c r="Z48" s="213"/>
    </row>
    <row r="49" spans="1:26" ht="15.75" thickBot="1">
      <c r="A49" s="219" t="s">
        <v>73</v>
      </c>
      <c r="B49" s="35">
        <f>IF(Berechnung!$G$4&lt;17,Berechnung!$K$32,IF(Berechnung!$G$4&lt;39,Berechnung!$M$32,IF(Berechnung!$G$4&lt;56,Berechnung!$O$32,IF(Berechnung!$G$4&lt;101,Berechnung!$Q$32,IF(Berechnung!$G$4&lt;201,Berechnung!$S$32,IF(Berechnung!$G$4&lt;330,(Berechnung!$S$32+Berechnung!$Q$32),IF(Berechnung!$G$4&lt;420,(Berechnung!$S$32*2),"")))))))</f>
        <v>8700</v>
      </c>
      <c r="C49" s="222"/>
      <c r="D49" s="215"/>
      <c r="E49" s="215"/>
      <c r="F49" s="215"/>
      <c r="G49" s="215"/>
      <c r="H49" s="215" t="s">
        <v>110</v>
      </c>
      <c r="I49" s="223">
        <f>B49/(Berechnung!$I$4*20)</f>
        <v>0.01708928571428572</v>
      </c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27"/>
      <c r="W49" s="213"/>
      <c r="X49" s="213"/>
      <c r="Y49" s="213"/>
      <c r="Z49" s="213"/>
    </row>
    <row r="50" spans="1:26" ht="15">
      <c r="A50" s="219" t="s">
        <v>74</v>
      </c>
      <c r="B50" s="35">
        <f>Berechnung!$G$12+Berechnung!$I$12+Berechnung!$K$12+Berechnung!$M$12+Berechnung!$O$12</f>
        <v>1633.1428571428569</v>
      </c>
      <c r="C50" s="223">
        <f>B50/Berechnung!$I$4</f>
        <v>0.06415918367346939</v>
      </c>
      <c r="D50" s="215" t="s">
        <v>109</v>
      </c>
      <c r="E50" s="215"/>
      <c r="F50" s="215"/>
      <c r="G50" s="215"/>
      <c r="H50" s="185" t="s">
        <v>111</v>
      </c>
      <c r="I50" s="186">
        <f>I48+C50</f>
        <v>0.0936234693877551</v>
      </c>
      <c r="J50" s="187" t="s">
        <v>4</v>
      </c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27"/>
      <c r="W50" s="213"/>
      <c r="X50" s="213"/>
      <c r="Y50" s="213"/>
      <c r="Z50" s="213"/>
    </row>
    <row r="51" spans="1:26" ht="15.75" thickBot="1">
      <c r="A51" s="219" t="s">
        <v>75</v>
      </c>
      <c r="B51" s="35">
        <f>Berechnung!G18+Berechnung!I18+Berechnung!K18+Berechnung!M18+Berechnung!O18</f>
        <v>3041.4999999999995</v>
      </c>
      <c r="C51" s="223">
        <f>B51/Berechnung!$I$4</f>
        <v>0.11948750000000001</v>
      </c>
      <c r="D51" s="215" t="s">
        <v>109</v>
      </c>
      <c r="E51" s="215"/>
      <c r="F51" s="215"/>
      <c r="G51" s="215"/>
      <c r="H51" s="188" t="s">
        <v>111</v>
      </c>
      <c r="I51" s="189">
        <f>I49+C51</f>
        <v>0.13657678571428572</v>
      </c>
      <c r="J51" s="190" t="s">
        <v>5</v>
      </c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27"/>
      <c r="W51" s="213"/>
      <c r="X51" s="213"/>
      <c r="Y51" s="213"/>
      <c r="Z51" s="213"/>
    </row>
    <row r="52" spans="1:26" ht="12.75">
      <c r="A52" s="219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27"/>
      <c r="W52" s="213"/>
      <c r="X52" s="213"/>
      <c r="Y52" s="213"/>
      <c r="Z52" s="213"/>
    </row>
    <row r="53" spans="1:26" ht="12.75">
      <c r="A53" s="219"/>
      <c r="B53" s="224">
        <v>0</v>
      </c>
      <c r="C53" s="224">
        <v>1</v>
      </c>
      <c r="D53" s="224">
        <v>2</v>
      </c>
      <c r="E53" s="224">
        <v>3</v>
      </c>
      <c r="F53" s="224">
        <v>4</v>
      </c>
      <c r="G53" s="224">
        <v>5</v>
      </c>
      <c r="H53" s="224">
        <v>6</v>
      </c>
      <c r="I53" s="224">
        <v>7</v>
      </c>
      <c r="J53" s="224">
        <v>8</v>
      </c>
      <c r="K53" s="224">
        <v>9</v>
      </c>
      <c r="L53" s="224">
        <v>10</v>
      </c>
      <c r="M53" s="224">
        <v>11</v>
      </c>
      <c r="N53" s="224">
        <v>12</v>
      </c>
      <c r="O53" s="224">
        <v>13</v>
      </c>
      <c r="P53" s="224">
        <v>14</v>
      </c>
      <c r="Q53" s="224">
        <v>15</v>
      </c>
      <c r="R53" s="224">
        <v>16</v>
      </c>
      <c r="S53" s="224">
        <v>17</v>
      </c>
      <c r="T53" s="224">
        <v>18</v>
      </c>
      <c r="U53" s="224">
        <v>19</v>
      </c>
      <c r="V53" s="228">
        <v>20</v>
      </c>
      <c r="W53" s="213"/>
      <c r="X53" s="213"/>
      <c r="Y53" s="213"/>
      <c r="Z53" s="213"/>
    </row>
    <row r="54" spans="1:26" ht="13.5" thickBot="1">
      <c r="A54" s="220"/>
      <c r="B54" s="225">
        <f aca="true" t="shared" si="0" ref="B54:V54">($B$49-$B$48)-B53*($B$50-$B$51)</f>
        <v>-6300</v>
      </c>
      <c r="C54" s="225">
        <f t="shared" si="0"/>
        <v>-4891.642857142857</v>
      </c>
      <c r="D54" s="225">
        <f t="shared" si="0"/>
        <v>-3483.2857142857147</v>
      </c>
      <c r="E54" s="225">
        <f t="shared" si="0"/>
        <v>-2074.9285714285725</v>
      </c>
      <c r="F54" s="225">
        <f t="shared" si="0"/>
        <v>-666.5714285714294</v>
      </c>
      <c r="G54" s="225">
        <f t="shared" si="0"/>
        <v>741.7857142857138</v>
      </c>
      <c r="H54" s="225">
        <f t="shared" si="0"/>
        <v>2150.142857142855</v>
      </c>
      <c r="I54" s="225">
        <f t="shared" si="0"/>
        <v>3558.499999999998</v>
      </c>
      <c r="J54" s="225">
        <f t="shared" si="0"/>
        <v>4966.857142857141</v>
      </c>
      <c r="K54" s="225">
        <f t="shared" si="0"/>
        <v>6375.214285714284</v>
      </c>
      <c r="L54" s="225">
        <f t="shared" si="0"/>
        <v>7783.5714285714275</v>
      </c>
      <c r="M54" s="225">
        <f t="shared" si="0"/>
        <v>9191.928571428569</v>
      </c>
      <c r="N54" s="225">
        <f t="shared" si="0"/>
        <v>10600.28571428571</v>
      </c>
      <c r="O54" s="225">
        <f t="shared" si="0"/>
        <v>12008.642857142855</v>
      </c>
      <c r="P54" s="225">
        <f t="shared" si="0"/>
        <v>13416.999999999996</v>
      </c>
      <c r="Q54" s="225">
        <f t="shared" si="0"/>
        <v>14825.357142857141</v>
      </c>
      <c r="R54" s="225">
        <f t="shared" si="0"/>
        <v>16233.714285714283</v>
      </c>
      <c r="S54" s="225">
        <f t="shared" si="0"/>
        <v>17642.071428571424</v>
      </c>
      <c r="T54" s="225">
        <f t="shared" si="0"/>
        <v>19050.42857142857</v>
      </c>
      <c r="U54" s="225">
        <f t="shared" si="0"/>
        <v>20458.78571428571</v>
      </c>
      <c r="V54" s="229">
        <f t="shared" si="0"/>
        <v>21867.142857142855</v>
      </c>
      <c r="W54" s="213"/>
      <c r="X54" s="213"/>
      <c r="Y54" s="213"/>
      <c r="Z54" s="213"/>
    </row>
    <row r="55" spans="1:26" ht="12.75">
      <c r="A55" s="369"/>
      <c r="B55" s="370">
        <v>0</v>
      </c>
      <c r="C55" s="370">
        <v>1</v>
      </c>
      <c r="D55" s="370">
        <v>2</v>
      </c>
      <c r="E55" s="370">
        <v>3</v>
      </c>
      <c r="F55" s="370">
        <v>4</v>
      </c>
      <c r="G55" s="370">
        <v>5</v>
      </c>
      <c r="H55" s="370">
        <v>6</v>
      </c>
      <c r="I55" s="370">
        <v>7</v>
      </c>
      <c r="J55" s="370">
        <v>8</v>
      </c>
      <c r="K55" s="370">
        <v>9</v>
      </c>
      <c r="L55" s="370">
        <v>10</v>
      </c>
      <c r="M55" s="370">
        <v>11</v>
      </c>
      <c r="N55" s="370">
        <v>12</v>
      </c>
      <c r="O55" s="370">
        <v>13</v>
      </c>
      <c r="P55" s="370">
        <v>14</v>
      </c>
      <c r="Q55" s="370">
        <v>15</v>
      </c>
      <c r="R55" s="370">
        <v>16</v>
      </c>
      <c r="S55" s="370">
        <v>17</v>
      </c>
      <c r="T55" s="370">
        <v>18</v>
      </c>
      <c r="U55" s="370">
        <v>19</v>
      </c>
      <c r="V55" s="371">
        <v>20</v>
      </c>
      <c r="W55" s="213"/>
      <c r="X55" s="213"/>
      <c r="Y55" s="213"/>
      <c r="Z55" s="213"/>
    </row>
    <row r="56" spans="1:26" ht="13.5" thickBot="1">
      <c r="A56" s="220"/>
      <c r="B56" s="225">
        <f>($B$49-$B$48)-B55*($B$50-$B$51)-'Rent Pell-Öl'!$C$8</f>
        <v>-6300</v>
      </c>
      <c r="C56" s="225">
        <f>($B$49-$B$48)-C55*($B$50-$B$51)-'Rent Pell-Öl'!$C$8</f>
        <v>-4891.642857142857</v>
      </c>
      <c r="D56" s="225">
        <f>($B$49-$B$48)-D55*($B$50-$B$51)-'Rent Pell-Öl'!$C$8</f>
        <v>-3483.2857142857147</v>
      </c>
      <c r="E56" s="225">
        <f>($B$49-$B$48)-E55*($B$50-$B$51)-'Rent Pell-Öl'!$C$8</f>
        <v>-2074.9285714285725</v>
      </c>
      <c r="F56" s="225">
        <f>($B$49-$B$48)-F55*($B$50-$B$51)-'Rent Pell-Öl'!$C$8</f>
        <v>-666.5714285714294</v>
      </c>
      <c r="G56" s="225">
        <f>($B$49-$B$48)-G55*($B$50-$B$51)-'Rent Pell-Öl'!$C$8</f>
        <v>741.7857142857138</v>
      </c>
      <c r="H56" s="225">
        <f>($B$49-$B$48)-H55*($B$50-$B$51)-'Rent Pell-Öl'!$C$8</f>
        <v>2150.142857142855</v>
      </c>
      <c r="I56" s="225">
        <f>($B$49-$B$48)-I55*($B$50-$B$51)-'Rent Pell-Öl'!$C$8</f>
        <v>3558.499999999998</v>
      </c>
      <c r="J56" s="225">
        <f>($B$49-$B$48)-J55*($B$50-$B$51)-'Rent Pell-Öl'!$C$8</f>
        <v>4966.857142857141</v>
      </c>
      <c r="K56" s="225">
        <f>($B$49-$B$48)-K55*($B$50-$B$51)-'Rent Pell-Öl'!$C$8</f>
        <v>6375.214285714284</v>
      </c>
      <c r="L56" s="225">
        <f>($B$49-$B$48)-L55*($B$50-$B$51)-'Rent Pell-Öl'!$C$8</f>
        <v>7783.5714285714275</v>
      </c>
      <c r="M56" s="225">
        <f>($B$49-$B$48)-M55*($B$50-$B$51)-'Rent Pell-Öl'!$C$8</f>
        <v>9191.928571428569</v>
      </c>
      <c r="N56" s="225">
        <f>($B$49-$B$48)-N55*($B$50-$B$51)-'Rent Pell-Öl'!$C$8</f>
        <v>10600.28571428571</v>
      </c>
      <c r="O56" s="225">
        <f>($B$49-$B$48)-O55*($B$50-$B$51)-'Rent Pell-Öl'!$C$8</f>
        <v>12008.642857142855</v>
      </c>
      <c r="P56" s="225">
        <f>($B$49-$B$48)-P55*($B$50-$B$51)-'Rent Pell-Öl'!$C$8</f>
        <v>13416.999999999996</v>
      </c>
      <c r="Q56" s="225">
        <f>($B$49-$B$48)-Q55*($B$50-$B$51)-'Rent Pell-Öl'!$C$8</f>
        <v>14825.357142857141</v>
      </c>
      <c r="R56" s="225">
        <f>($B$49-$B$48)-R55*($B$50-$B$51)-'Rent Pell-Öl'!$C$8</f>
        <v>16233.714285714283</v>
      </c>
      <c r="S56" s="225">
        <f>($B$49-$B$48)-S55*($B$50-$B$51)-'Rent Pell-Öl'!$C$8</f>
        <v>17642.071428571424</v>
      </c>
      <c r="T56" s="225">
        <f>($B$49-$B$48)-T55*($B$50-$B$51)-'Rent Pell-Öl'!$C$8</f>
        <v>19050.42857142857</v>
      </c>
      <c r="U56" s="225">
        <f>($B$49-$B$48)-U55*($B$50-$B$51)-'Rent Pell-Öl'!$C$8</f>
        <v>20458.78571428571</v>
      </c>
      <c r="V56" s="229">
        <f>($B$49-$B$48)-V55*($B$50-$B$51)-'Rent Pell-Öl'!$C$8</f>
        <v>21867.142857142855</v>
      </c>
      <c r="W56" s="213"/>
      <c r="X56" s="213"/>
      <c r="Y56" s="213"/>
      <c r="Z56" s="213"/>
    </row>
    <row r="57" spans="1:26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</row>
    <row r="58" spans="1:26" ht="13.5" thickBo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</row>
    <row r="59" spans="1:26" ht="12.75">
      <c r="A59" s="218" t="s">
        <v>103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6"/>
      <c r="W59" s="213"/>
      <c r="X59" s="213"/>
      <c r="Y59" s="213"/>
      <c r="Z59" s="213"/>
    </row>
    <row r="60" spans="1:26" ht="15">
      <c r="A60" s="219" t="s">
        <v>96</v>
      </c>
      <c r="B60" s="35">
        <f>Berechnung!$E$10*20</f>
        <v>16500</v>
      </c>
      <c r="C60" s="222"/>
      <c r="D60" s="215"/>
      <c r="E60" s="215"/>
      <c r="F60" s="215"/>
      <c r="G60" s="215"/>
      <c r="H60" s="215" t="s">
        <v>110</v>
      </c>
      <c r="I60" s="223">
        <f>B60/(Berechnung!$I$4*20)</f>
        <v>0.03241071428571429</v>
      </c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27"/>
      <c r="W60" s="213"/>
      <c r="X60" s="213"/>
      <c r="Y60" s="213"/>
      <c r="Z60" s="213"/>
    </row>
    <row r="61" spans="1:26" ht="15.75" thickBot="1">
      <c r="A61" s="219" t="s">
        <v>73</v>
      </c>
      <c r="B61" s="35">
        <f>IF(Berechnung!$G$4&lt;17,Berechnung!$K$32,IF(Berechnung!$G$4&lt;39,Berechnung!$M$32,IF(Berechnung!$G$4&lt;56,Berechnung!$O$32,IF(Berechnung!$G$4&lt;101,Berechnung!$Q$32,IF(Berechnung!$G$4&lt;201,Berechnung!$S$32,IF(Berechnung!$G$4&lt;330,(Berechnung!$S$32+Berechnung!$Q$32),IF(Berechnung!$G$4&lt;420,(Berechnung!$S$32*2),"")))))))</f>
        <v>8700</v>
      </c>
      <c r="C61" s="222"/>
      <c r="D61" s="215"/>
      <c r="E61" s="215"/>
      <c r="F61" s="215"/>
      <c r="G61" s="215"/>
      <c r="H61" s="215" t="s">
        <v>110</v>
      </c>
      <c r="I61" s="223">
        <f>B61/(Berechnung!$I$4*20)</f>
        <v>0.01708928571428572</v>
      </c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27"/>
      <c r="W61" s="213"/>
      <c r="X61" s="213"/>
      <c r="Y61" s="213"/>
      <c r="Z61" s="213"/>
    </row>
    <row r="62" spans="1:26" ht="15">
      <c r="A62" s="219" t="s">
        <v>97</v>
      </c>
      <c r="B62" s="35">
        <f>Berechnung!$G$10+Berechnung!$I$10+Berechnung!$K$10+Berechnung!$M$10+Berechnung!$O$10</f>
        <v>1171.4444444444443</v>
      </c>
      <c r="C62" s="223">
        <f>B62/Berechnung!$I$4</f>
        <v>0.046021031746031754</v>
      </c>
      <c r="D62" s="215" t="s">
        <v>109</v>
      </c>
      <c r="E62" s="215"/>
      <c r="F62" s="215"/>
      <c r="G62" s="215"/>
      <c r="H62" s="185" t="s">
        <v>111</v>
      </c>
      <c r="I62" s="186">
        <f>I60+C62</f>
        <v>0.07843174603174605</v>
      </c>
      <c r="J62" s="187" t="s">
        <v>3</v>
      </c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27"/>
      <c r="W62" s="213"/>
      <c r="X62" s="213"/>
      <c r="Y62" s="213"/>
      <c r="Z62" s="213"/>
    </row>
    <row r="63" spans="1:26" ht="15.75" thickBot="1">
      <c r="A63" s="219" t="s">
        <v>75</v>
      </c>
      <c r="B63" s="35">
        <f>Berechnung!G18+Berechnung!I18+Berechnung!K18+Berechnung!M18+Berechnung!O18</f>
        <v>3041.4999999999995</v>
      </c>
      <c r="C63" s="223">
        <f>B63/Berechnung!$I$4</f>
        <v>0.11948750000000001</v>
      </c>
      <c r="D63" s="215" t="s">
        <v>109</v>
      </c>
      <c r="E63" s="215"/>
      <c r="F63" s="215"/>
      <c r="G63" s="215"/>
      <c r="H63" s="188" t="s">
        <v>111</v>
      </c>
      <c r="I63" s="189">
        <f>I61+C63</f>
        <v>0.13657678571428572</v>
      </c>
      <c r="J63" s="190" t="s">
        <v>5</v>
      </c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27"/>
      <c r="W63" s="213"/>
      <c r="X63" s="213"/>
      <c r="Y63" s="213"/>
      <c r="Z63" s="213"/>
    </row>
    <row r="64" spans="1:26" ht="12.75">
      <c r="A64" s="219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27"/>
      <c r="W64" s="213"/>
      <c r="X64" s="213"/>
      <c r="Y64" s="213"/>
      <c r="Z64" s="213"/>
    </row>
    <row r="65" spans="1:26" ht="12.75">
      <c r="A65" s="219"/>
      <c r="B65" s="224">
        <v>0</v>
      </c>
      <c r="C65" s="224">
        <v>1</v>
      </c>
      <c r="D65" s="224">
        <v>2</v>
      </c>
      <c r="E65" s="224">
        <v>3</v>
      </c>
      <c r="F65" s="224">
        <v>4</v>
      </c>
      <c r="G65" s="224">
        <v>5</v>
      </c>
      <c r="H65" s="224">
        <v>6</v>
      </c>
      <c r="I65" s="224">
        <v>7</v>
      </c>
      <c r="J65" s="224">
        <v>8</v>
      </c>
      <c r="K65" s="224">
        <v>9</v>
      </c>
      <c r="L65" s="224">
        <v>10</v>
      </c>
      <c r="M65" s="224">
        <v>11</v>
      </c>
      <c r="N65" s="224">
        <v>12</v>
      </c>
      <c r="O65" s="224">
        <v>13</v>
      </c>
      <c r="P65" s="224">
        <v>14</v>
      </c>
      <c r="Q65" s="224">
        <v>15</v>
      </c>
      <c r="R65" s="224">
        <v>16</v>
      </c>
      <c r="S65" s="224">
        <v>17</v>
      </c>
      <c r="T65" s="224">
        <v>18</v>
      </c>
      <c r="U65" s="224">
        <v>19</v>
      </c>
      <c r="V65" s="228">
        <v>20</v>
      </c>
      <c r="W65" s="213"/>
      <c r="X65" s="213"/>
      <c r="Y65" s="213"/>
      <c r="Z65" s="213"/>
    </row>
    <row r="66" spans="1:26" ht="13.5" thickBot="1">
      <c r="A66" s="220"/>
      <c r="B66" s="225">
        <f aca="true" t="shared" si="1" ref="B66:V66">($B$61-$B$60)-B65*($B$62-$B$63)</f>
        <v>-7800</v>
      </c>
      <c r="C66" s="225">
        <f t="shared" si="1"/>
        <v>-5929.944444444445</v>
      </c>
      <c r="D66" s="225">
        <f t="shared" si="1"/>
        <v>-4059.8888888888896</v>
      </c>
      <c r="E66" s="225">
        <f t="shared" si="1"/>
        <v>-2189.833333333334</v>
      </c>
      <c r="F66" s="225">
        <f t="shared" si="1"/>
        <v>-319.7777777777792</v>
      </c>
      <c r="G66" s="225">
        <f t="shared" si="1"/>
        <v>1550.2777777777756</v>
      </c>
      <c r="H66" s="225">
        <f t="shared" si="1"/>
        <v>3420.333333333332</v>
      </c>
      <c r="I66" s="225">
        <f t="shared" si="1"/>
        <v>5290.388888888887</v>
      </c>
      <c r="J66" s="225">
        <f t="shared" si="1"/>
        <v>7160.444444444442</v>
      </c>
      <c r="K66" s="225">
        <f t="shared" si="1"/>
        <v>9030.499999999996</v>
      </c>
      <c r="L66" s="225">
        <f t="shared" si="1"/>
        <v>10900.555555555551</v>
      </c>
      <c r="M66" s="225">
        <f t="shared" si="1"/>
        <v>12770.611111111106</v>
      </c>
      <c r="N66" s="225">
        <f t="shared" si="1"/>
        <v>14640.666666666664</v>
      </c>
      <c r="O66" s="225">
        <f t="shared" si="1"/>
        <v>16510.72222222222</v>
      </c>
      <c r="P66" s="225">
        <f t="shared" si="1"/>
        <v>18380.777777777774</v>
      </c>
      <c r="Q66" s="225">
        <f t="shared" si="1"/>
        <v>20250.83333333333</v>
      </c>
      <c r="R66" s="225">
        <f t="shared" si="1"/>
        <v>22120.888888888883</v>
      </c>
      <c r="S66" s="225">
        <f t="shared" si="1"/>
        <v>23990.944444444438</v>
      </c>
      <c r="T66" s="225">
        <f t="shared" si="1"/>
        <v>25860.999999999993</v>
      </c>
      <c r="U66" s="225">
        <f t="shared" si="1"/>
        <v>27731.055555555547</v>
      </c>
      <c r="V66" s="229">
        <f t="shared" si="1"/>
        <v>29601.111111111102</v>
      </c>
      <c r="W66" s="213"/>
      <c r="X66" s="213"/>
      <c r="Y66" s="213"/>
      <c r="Z66" s="213"/>
    </row>
    <row r="67" spans="1:26" ht="12.75">
      <c r="A67" s="369"/>
      <c r="B67" s="370">
        <v>0</v>
      </c>
      <c r="C67" s="370">
        <v>1</v>
      </c>
      <c r="D67" s="370">
        <v>2</v>
      </c>
      <c r="E67" s="370">
        <v>3</v>
      </c>
      <c r="F67" s="370">
        <v>4</v>
      </c>
      <c r="G67" s="370">
        <v>5</v>
      </c>
      <c r="H67" s="370">
        <v>6</v>
      </c>
      <c r="I67" s="370">
        <v>7</v>
      </c>
      <c r="J67" s="370">
        <v>8</v>
      </c>
      <c r="K67" s="370">
        <v>9</v>
      </c>
      <c r="L67" s="370">
        <v>10</v>
      </c>
      <c r="M67" s="370">
        <v>11</v>
      </c>
      <c r="N67" s="370">
        <v>12</v>
      </c>
      <c r="O67" s="370">
        <v>13</v>
      </c>
      <c r="P67" s="370">
        <v>14</v>
      </c>
      <c r="Q67" s="370">
        <v>15</v>
      </c>
      <c r="R67" s="370">
        <v>16</v>
      </c>
      <c r="S67" s="370">
        <v>17</v>
      </c>
      <c r="T67" s="370">
        <v>18</v>
      </c>
      <c r="U67" s="370">
        <v>19</v>
      </c>
      <c r="V67" s="371">
        <v>20</v>
      </c>
      <c r="W67" s="213"/>
      <c r="X67" s="213"/>
      <c r="Y67" s="213"/>
      <c r="Z67" s="213"/>
    </row>
    <row r="68" spans="1:26" ht="13.5" thickBot="1">
      <c r="A68" s="220"/>
      <c r="B68" s="225">
        <f>($B$61-$B$60)-B67*($B$62-$B$63)-'Rent Hack-Öl'!$C$8</f>
        <v>-8300</v>
      </c>
      <c r="C68" s="225">
        <f>($B$61-$B$60)-C67*($B$62-$B$63)-'Rent Hack-Öl'!$C$8</f>
        <v>-6429.944444444445</v>
      </c>
      <c r="D68" s="225">
        <f>($B$61-$B$60)-D67*($B$62-$B$63)-'Rent Hack-Öl'!$C$8</f>
        <v>-4559.88888888889</v>
      </c>
      <c r="E68" s="225">
        <f>($B$61-$B$60)-E67*($B$62-$B$63)-'Rent Hack-Öl'!$C$8</f>
        <v>-2689.833333333334</v>
      </c>
      <c r="F68" s="225">
        <f>($B$61-$B$60)-F67*($B$62-$B$63)-'Rent Hack-Öl'!$C$8</f>
        <v>-819.7777777777792</v>
      </c>
      <c r="G68" s="225">
        <f>($B$61-$B$60)-G67*($B$62-$B$63)-'Rent Hack-Öl'!$C$8</f>
        <v>1050.2777777777756</v>
      </c>
      <c r="H68" s="225">
        <f>($B$61-$B$60)-H67*($B$62-$B$63)-'Rent Hack-Öl'!$C$8</f>
        <v>2920.333333333332</v>
      </c>
      <c r="I68" s="225">
        <f>($B$61-$B$60)-I67*($B$62-$B$63)-'Rent Hack-Öl'!$C$8</f>
        <v>4790.388888888887</v>
      </c>
      <c r="J68" s="225">
        <f>($B$61-$B$60)-J67*($B$62-$B$63)-'Rent Hack-Öl'!$C$8</f>
        <v>6660.444444444442</v>
      </c>
      <c r="K68" s="225">
        <f>($B$61-$B$60)-K67*($B$62-$B$63)-'Rent Hack-Öl'!$C$8</f>
        <v>8530.499999999996</v>
      </c>
      <c r="L68" s="225">
        <f>($B$61-$B$60)-L67*($B$62-$B$63)-'Rent Hack-Öl'!$C$8</f>
        <v>10400.555555555551</v>
      </c>
      <c r="M68" s="225">
        <f>($B$61-$B$60)-M67*($B$62-$B$63)-'Rent Hack-Öl'!$C$8</f>
        <v>12270.611111111106</v>
      </c>
      <c r="N68" s="225">
        <f>($B$61-$B$60)-N67*($B$62-$B$63)-'Rent Hack-Öl'!$C$8</f>
        <v>14140.666666666664</v>
      </c>
      <c r="O68" s="225">
        <f>($B$61-$B$60)-O67*($B$62-$B$63)-'Rent Hack-Öl'!$C$8</f>
        <v>16010.722222222219</v>
      </c>
      <c r="P68" s="225">
        <f>($B$61-$B$60)-P67*($B$62-$B$63)-'Rent Hack-Öl'!$C$8</f>
        <v>17880.777777777774</v>
      </c>
      <c r="Q68" s="225">
        <f>($B$61-$B$60)-Q67*($B$62-$B$63)-'Rent Hack-Öl'!$C$8</f>
        <v>19750.83333333333</v>
      </c>
      <c r="R68" s="225">
        <f>($B$61-$B$60)-R67*($B$62-$B$63)-'Rent Hack-Öl'!$C$8</f>
        <v>21620.888888888883</v>
      </c>
      <c r="S68" s="225">
        <f>($B$61-$B$60)-S67*($B$62-$B$63)-'Rent Hack-Öl'!$C$8</f>
        <v>23490.944444444438</v>
      </c>
      <c r="T68" s="225">
        <f>($B$61-$B$60)-T67*($B$62-$B$63)-'Rent Hack-Öl'!$C$8</f>
        <v>25360.999999999993</v>
      </c>
      <c r="U68" s="225">
        <f>($B$61-$B$60)-U67*($B$62-$B$63)-'Rent Hack-Öl'!$C$8</f>
        <v>27231.055555555547</v>
      </c>
      <c r="V68" s="229">
        <f>($B$61-$B$60)-V67*($B$62-$B$63)-'Rent Hack-Öl'!$C$8</f>
        <v>29101.111111111102</v>
      </c>
      <c r="W68" s="213"/>
      <c r="X68" s="213"/>
      <c r="Y68" s="213"/>
      <c r="Z68" s="213"/>
    </row>
    <row r="69" spans="1:26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1:26" ht="13.5" thickBot="1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</row>
    <row r="71" spans="1:26" ht="12.75">
      <c r="A71" s="218" t="s">
        <v>104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6"/>
      <c r="W71" s="213"/>
      <c r="X71" s="213"/>
      <c r="Y71" s="213"/>
      <c r="Z71" s="213"/>
    </row>
    <row r="72" spans="1:26" ht="15">
      <c r="A72" s="219" t="s">
        <v>96</v>
      </c>
      <c r="B72" s="35">
        <f>Berechnung!$E$10*20</f>
        <v>16500</v>
      </c>
      <c r="C72" s="222"/>
      <c r="D72" s="215"/>
      <c r="E72" s="215"/>
      <c r="F72" s="215"/>
      <c r="G72" s="215"/>
      <c r="H72" s="215" t="s">
        <v>110</v>
      </c>
      <c r="I72" s="223">
        <f>B72/(Berechnung!$I$4*20)</f>
        <v>0.03241071428571429</v>
      </c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27"/>
      <c r="W72" s="213"/>
      <c r="X72" s="213"/>
      <c r="Y72" s="213"/>
      <c r="Z72" s="213"/>
    </row>
    <row r="73" spans="1:26" ht="15.75" thickBot="1">
      <c r="A73" s="219" t="s">
        <v>100</v>
      </c>
      <c r="B73" s="35">
        <f>IF(Berechnung!$G$4&lt;17,Berechnung!$K$31,IF(Berechnung!$G$4&lt;39,Berechnung!$M$31,IF(Berechnung!$G$4&lt;56,Berechnung!$O$31,IF(Berechnung!$G$4&lt;101,Berechnung!$Q$31,IF(Berechnung!$G$4&lt;201,Berechnung!$S$31,IF(Berechnung!$G$4&lt;330,(Berechnung!$S$31+Berechnung!$Q$31),IF(Berechnung!$G$4&lt;420,(Berechnung!$S$31*2),"")))))))</f>
        <v>5600</v>
      </c>
      <c r="C73" s="222"/>
      <c r="D73" s="215"/>
      <c r="E73" s="215"/>
      <c r="F73" s="215"/>
      <c r="G73" s="215"/>
      <c r="H73" s="215" t="s">
        <v>110</v>
      </c>
      <c r="I73" s="223">
        <f>B73/(Berechnung!$I$4*20)</f>
        <v>0.011000000000000003</v>
      </c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27"/>
      <c r="W73" s="213"/>
      <c r="X73" s="213"/>
      <c r="Y73" s="213"/>
      <c r="Z73" s="213"/>
    </row>
    <row r="74" spans="1:26" ht="15">
      <c r="A74" s="219" t="s">
        <v>97</v>
      </c>
      <c r="B74" s="35">
        <f>Berechnung!$G$10+Berechnung!$I$10+Berechnung!$K$10+Berechnung!$M$10+Berechnung!$O$10</f>
        <v>1171.4444444444443</v>
      </c>
      <c r="C74" s="223">
        <f>B74/Berechnung!$I$4</f>
        <v>0.046021031746031754</v>
      </c>
      <c r="D74" s="215" t="s">
        <v>109</v>
      </c>
      <c r="E74" s="215"/>
      <c r="F74" s="215"/>
      <c r="G74" s="215"/>
      <c r="H74" s="185" t="s">
        <v>111</v>
      </c>
      <c r="I74" s="186">
        <f>I72+C74</f>
        <v>0.07843174603174605</v>
      </c>
      <c r="J74" s="187" t="s">
        <v>3</v>
      </c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27"/>
      <c r="W74" s="213"/>
      <c r="X74" s="213"/>
      <c r="Y74" s="213"/>
      <c r="Z74" s="213"/>
    </row>
    <row r="75" spans="1:26" ht="15.75" thickBot="1">
      <c r="A75" s="219" t="s">
        <v>101</v>
      </c>
      <c r="B75" s="35">
        <f>Berechnung!$G$16+Berechnung!$I$16+Berechnung!$K$16+Berechnung!$M$16+Berechnung!$O$16</f>
        <v>2291.9999999999995</v>
      </c>
      <c r="C75" s="223">
        <f>B75/Berechnung!$I$4</f>
        <v>0.09004285714285715</v>
      </c>
      <c r="D75" s="215" t="s">
        <v>109</v>
      </c>
      <c r="E75" s="215"/>
      <c r="F75" s="215"/>
      <c r="G75" s="215"/>
      <c r="H75" s="188" t="s">
        <v>111</v>
      </c>
      <c r="I75" s="189">
        <f>I73+C75</f>
        <v>0.10104285714285716</v>
      </c>
      <c r="J75" s="190" t="s">
        <v>112</v>
      </c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27"/>
      <c r="W75" s="213"/>
      <c r="X75" s="213"/>
      <c r="Y75" s="213"/>
      <c r="Z75" s="213"/>
    </row>
    <row r="76" spans="1:26" ht="12.75">
      <c r="A76" s="219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27"/>
      <c r="W76" s="213"/>
      <c r="X76" s="213"/>
      <c r="Y76" s="213"/>
      <c r="Z76" s="213"/>
    </row>
    <row r="77" spans="1:26" ht="12.75">
      <c r="A77" s="219"/>
      <c r="B77" s="224">
        <v>0</v>
      </c>
      <c r="C77" s="224">
        <v>1</v>
      </c>
      <c r="D77" s="224">
        <v>2</v>
      </c>
      <c r="E77" s="224">
        <v>3</v>
      </c>
      <c r="F77" s="224">
        <v>4</v>
      </c>
      <c r="G77" s="224">
        <v>5</v>
      </c>
      <c r="H77" s="224">
        <v>6</v>
      </c>
      <c r="I77" s="224">
        <v>7</v>
      </c>
      <c r="J77" s="224">
        <v>8</v>
      </c>
      <c r="K77" s="224">
        <v>9</v>
      </c>
      <c r="L77" s="224">
        <v>10</v>
      </c>
      <c r="M77" s="224">
        <v>11</v>
      </c>
      <c r="N77" s="224">
        <v>12</v>
      </c>
      <c r="O77" s="224">
        <v>13</v>
      </c>
      <c r="P77" s="224">
        <v>14</v>
      </c>
      <c r="Q77" s="224">
        <v>15</v>
      </c>
      <c r="R77" s="224">
        <v>16</v>
      </c>
      <c r="S77" s="224">
        <v>17</v>
      </c>
      <c r="T77" s="224">
        <v>18</v>
      </c>
      <c r="U77" s="224">
        <v>19</v>
      </c>
      <c r="V77" s="228">
        <v>20</v>
      </c>
      <c r="W77" s="213"/>
      <c r="X77" s="213"/>
      <c r="Y77" s="213"/>
      <c r="Z77" s="213"/>
    </row>
    <row r="78" spans="1:26" ht="13.5" thickBot="1">
      <c r="A78" s="220"/>
      <c r="B78" s="225">
        <f aca="true" t="shared" si="2" ref="B78:V78">($B$73-$B$72)-B77*($B$74-$B$75)</f>
        <v>-10900</v>
      </c>
      <c r="C78" s="225">
        <f t="shared" si="2"/>
        <v>-9779.444444444445</v>
      </c>
      <c r="D78" s="225">
        <f t="shared" si="2"/>
        <v>-8658.88888888889</v>
      </c>
      <c r="E78" s="225">
        <f t="shared" si="2"/>
        <v>-7538.333333333334</v>
      </c>
      <c r="F78" s="225">
        <f t="shared" si="2"/>
        <v>-6417.777777777779</v>
      </c>
      <c r="G78" s="225">
        <f t="shared" si="2"/>
        <v>-5297.222222222224</v>
      </c>
      <c r="H78" s="225">
        <f t="shared" si="2"/>
        <v>-4176.666666666669</v>
      </c>
      <c r="I78" s="225">
        <f t="shared" si="2"/>
        <v>-3056.111111111113</v>
      </c>
      <c r="J78" s="225">
        <f t="shared" si="2"/>
        <v>-1935.5555555555584</v>
      </c>
      <c r="K78" s="225">
        <f t="shared" si="2"/>
        <v>-815.0000000000036</v>
      </c>
      <c r="L78" s="225">
        <f t="shared" si="2"/>
        <v>305.5555555555511</v>
      </c>
      <c r="M78" s="225">
        <f t="shared" si="2"/>
        <v>1426.1111111111077</v>
      </c>
      <c r="N78" s="225">
        <f t="shared" si="2"/>
        <v>2546.6666666666624</v>
      </c>
      <c r="O78" s="225">
        <f t="shared" si="2"/>
        <v>3667.222222222217</v>
      </c>
      <c r="P78" s="225">
        <f t="shared" si="2"/>
        <v>4787.777777777774</v>
      </c>
      <c r="Q78" s="225">
        <f t="shared" si="2"/>
        <v>5908.3333333333285</v>
      </c>
      <c r="R78" s="225">
        <f t="shared" si="2"/>
        <v>7028.888888888883</v>
      </c>
      <c r="S78" s="225">
        <f t="shared" si="2"/>
        <v>8149.444444444438</v>
      </c>
      <c r="T78" s="225">
        <f t="shared" si="2"/>
        <v>9269.999999999993</v>
      </c>
      <c r="U78" s="225">
        <f t="shared" si="2"/>
        <v>10390.555555555547</v>
      </c>
      <c r="V78" s="229">
        <f t="shared" si="2"/>
        <v>11511.111111111102</v>
      </c>
      <c r="W78" s="213"/>
      <c r="X78" s="213"/>
      <c r="Y78" s="213"/>
      <c r="Z78" s="213"/>
    </row>
    <row r="79" spans="1:26" ht="12.75">
      <c r="A79" s="369"/>
      <c r="B79" s="370">
        <v>0</v>
      </c>
      <c r="C79" s="370">
        <v>1</v>
      </c>
      <c r="D79" s="370">
        <v>2</v>
      </c>
      <c r="E79" s="370">
        <v>3</v>
      </c>
      <c r="F79" s="370">
        <v>4</v>
      </c>
      <c r="G79" s="370">
        <v>5</v>
      </c>
      <c r="H79" s="370">
        <v>6</v>
      </c>
      <c r="I79" s="370">
        <v>7</v>
      </c>
      <c r="J79" s="370">
        <v>8</v>
      </c>
      <c r="K79" s="370">
        <v>9</v>
      </c>
      <c r="L79" s="370">
        <v>10</v>
      </c>
      <c r="M79" s="370">
        <v>11</v>
      </c>
      <c r="N79" s="370">
        <v>12</v>
      </c>
      <c r="O79" s="370">
        <v>13</v>
      </c>
      <c r="P79" s="370">
        <v>14</v>
      </c>
      <c r="Q79" s="370">
        <v>15</v>
      </c>
      <c r="R79" s="370">
        <v>16</v>
      </c>
      <c r="S79" s="370">
        <v>17</v>
      </c>
      <c r="T79" s="370">
        <v>18</v>
      </c>
      <c r="U79" s="370">
        <v>19</v>
      </c>
      <c r="V79" s="371">
        <v>20</v>
      </c>
      <c r="W79" s="213"/>
      <c r="X79" s="213"/>
      <c r="Y79" s="213"/>
      <c r="Z79" s="213"/>
    </row>
    <row r="80" spans="1:26" ht="13.5" thickBot="1">
      <c r="A80" s="220"/>
      <c r="B80" s="225">
        <f>($B$73-$B$72)-B79*($B$74-$B$75)-'Rent Hack-Gas'!$C$8</f>
        <v>-10900</v>
      </c>
      <c r="C80" s="225">
        <f>($B$73-$B$72)-C79*($B$74-$B$75)-'Rent Hack-Gas'!$C$8</f>
        <v>-9779.444444444445</v>
      </c>
      <c r="D80" s="225">
        <f>($B$73-$B$72)-D79*($B$74-$B$75)-'Rent Hack-Gas'!$C$8</f>
        <v>-8658.88888888889</v>
      </c>
      <c r="E80" s="225">
        <f>($B$73-$B$72)-E79*($B$74-$B$75)-'Rent Hack-Gas'!$C$8</f>
        <v>-7538.333333333334</v>
      </c>
      <c r="F80" s="225">
        <f>($B$73-$B$72)-F79*($B$74-$B$75)-'Rent Hack-Gas'!$C$8</f>
        <v>-6417.777777777779</v>
      </c>
      <c r="G80" s="225">
        <f>($B$73-$B$72)-G79*($B$74-$B$75)-'Rent Hack-Gas'!$C$8</f>
        <v>-5297.222222222224</v>
      </c>
      <c r="H80" s="225">
        <f>($B$73-$B$72)-H79*($B$74-$B$75)-'Rent Hack-Gas'!$C$8</f>
        <v>-4176.666666666669</v>
      </c>
      <c r="I80" s="225">
        <f>($B$73-$B$72)-I79*($B$74-$B$75)-'Rent Hack-Gas'!$C$8</f>
        <v>-3056.111111111113</v>
      </c>
      <c r="J80" s="225">
        <f>($B$73-$B$72)-J79*($B$74-$B$75)-'Rent Hack-Gas'!$C$8</f>
        <v>-1935.5555555555584</v>
      </c>
      <c r="K80" s="225">
        <f>($B$73-$B$72)-K79*($B$74-$B$75)-'Rent Hack-Gas'!$C$8</f>
        <v>-815.0000000000036</v>
      </c>
      <c r="L80" s="225">
        <f>($B$73-$B$72)-L79*($B$74-$B$75)-'Rent Hack-Gas'!$C$8</f>
        <v>305.5555555555511</v>
      </c>
      <c r="M80" s="225">
        <f>($B$73-$B$72)-M79*($B$74-$B$75)-'Rent Hack-Gas'!$C$8</f>
        <v>1426.1111111111077</v>
      </c>
      <c r="N80" s="225">
        <f>($B$73-$B$72)-N79*($B$74-$B$75)-'Rent Hack-Gas'!$C$8</f>
        <v>2546.6666666666624</v>
      </c>
      <c r="O80" s="225">
        <f>($B$73-$B$72)-O79*($B$74-$B$75)-'Rent Hack-Gas'!$C$8</f>
        <v>3667.222222222217</v>
      </c>
      <c r="P80" s="225">
        <f>($B$73-$B$72)-P79*($B$74-$B$75)-'Rent Hack-Gas'!$C$8</f>
        <v>4787.777777777774</v>
      </c>
      <c r="Q80" s="225">
        <f>($B$73-$B$72)-Q79*($B$74-$B$75)-'Rent Hack-Gas'!$C$8</f>
        <v>5908.3333333333285</v>
      </c>
      <c r="R80" s="225">
        <f>($B$73-$B$72)-R79*($B$74-$B$75)-'Rent Hack-Gas'!$C$8</f>
        <v>7028.888888888883</v>
      </c>
      <c r="S80" s="225">
        <f>($B$73-$B$72)-S79*($B$74-$B$75)-'Rent Hack-Gas'!$C$8</f>
        <v>8149.444444444438</v>
      </c>
      <c r="T80" s="225">
        <f>($B$73-$B$72)-T79*($B$74-$B$75)-'Rent Hack-Gas'!$C$8</f>
        <v>9269.999999999993</v>
      </c>
      <c r="U80" s="225">
        <f>($B$73-$B$72)-U79*($B$74-$B$75)-'Rent Hack-Gas'!$C$8</f>
        <v>10390.555555555547</v>
      </c>
      <c r="V80" s="229">
        <f>($B$73-$B$72)-V79*($B$74-$B$75)-'Rent Hack-Gas'!$C$8</f>
        <v>11511.111111111102</v>
      </c>
      <c r="W80" s="213"/>
      <c r="X80" s="213"/>
      <c r="Y80" s="213"/>
      <c r="Z80" s="213"/>
    </row>
    <row r="81" spans="1:26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</row>
    <row r="82" spans="1:26" ht="13.5" thickBot="1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</row>
    <row r="83" spans="1:26" ht="12.75">
      <c r="A83" s="218" t="s">
        <v>105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6"/>
      <c r="W83" s="213"/>
      <c r="X83" s="213"/>
      <c r="Y83" s="213"/>
      <c r="Z83" s="213"/>
    </row>
    <row r="84" spans="1:26" ht="15">
      <c r="A84" s="219" t="s">
        <v>72</v>
      </c>
      <c r="B84" s="35">
        <f>Berechnung!E12*20</f>
        <v>15000</v>
      </c>
      <c r="C84" s="215"/>
      <c r="D84" s="215"/>
      <c r="E84" s="215"/>
      <c r="F84" s="215"/>
      <c r="G84" s="215"/>
      <c r="H84" s="215" t="s">
        <v>110</v>
      </c>
      <c r="I84" s="223">
        <f>B84/(Berechnung!$I$4*20)</f>
        <v>0.029464285714285724</v>
      </c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27"/>
      <c r="W84" s="213"/>
      <c r="X84" s="213"/>
      <c r="Y84" s="213"/>
      <c r="Z84" s="213"/>
    </row>
    <row r="85" spans="1:26" ht="15.75" thickBot="1">
      <c r="A85" s="219" t="s">
        <v>100</v>
      </c>
      <c r="B85" s="35">
        <f>IF(Berechnung!$G$4&lt;17,Berechnung!$K$31,IF(Berechnung!$G$4&lt;39,Berechnung!$M$31,IF(Berechnung!$G$4&lt;56,Berechnung!$O$31,IF(Berechnung!$G$4&lt;101,Berechnung!$Q$31,IF(Berechnung!$G$4&lt;201,Berechnung!$S$31,IF(Berechnung!$G$4&lt;330,(Berechnung!$S$31+Berechnung!$Q$31),IF(Berechnung!$G$4&lt;420,(Berechnung!$S$31*2),"")))))))</f>
        <v>5600</v>
      </c>
      <c r="C85" s="215"/>
      <c r="D85" s="215"/>
      <c r="E85" s="215"/>
      <c r="F85" s="215"/>
      <c r="G85" s="215"/>
      <c r="H85" s="215" t="s">
        <v>110</v>
      </c>
      <c r="I85" s="223">
        <f>B85/(Berechnung!$I$4*20)</f>
        <v>0.011000000000000003</v>
      </c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27"/>
      <c r="W85" s="213"/>
      <c r="X85" s="213"/>
      <c r="Y85" s="213"/>
      <c r="Z85" s="213"/>
    </row>
    <row r="86" spans="1:26" ht="15">
      <c r="A86" s="219" t="s">
        <v>74</v>
      </c>
      <c r="B86" s="35">
        <f>Berechnung!$G$12+Berechnung!$I$12+Berechnung!$K$12+Berechnung!$M$12+Berechnung!$O$12</f>
        <v>1633.1428571428569</v>
      </c>
      <c r="C86" s="223">
        <f>B86/Berechnung!$I$4</f>
        <v>0.06415918367346939</v>
      </c>
      <c r="D86" s="215" t="s">
        <v>109</v>
      </c>
      <c r="E86" s="215"/>
      <c r="F86" s="215"/>
      <c r="G86" s="215"/>
      <c r="H86" s="185" t="s">
        <v>111</v>
      </c>
      <c r="I86" s="186">
        <f>I84+C86</f>
        <v>0.0936234693877551</v>
      </c>
      <c r="J86" s="187" t="s">
        <v>4</v>
      </c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27"/>
      <c r="W86" s="213"/>
      <c r="X86" s="213"/>
      <c r="Y86" s="213"/>
      <c r="Z86" s="213"/>
    </row>
    <row r="87" spans="1:26" ht="15.75" thickBot="1">
      <c r="A87" s="219" t="s">
        <v>101</v>
      </c>
      <c r="B87" s="35">
        <f>Berechnung!$G$16+Berechnung!$I$16+Berechnung!$K$16+Berechnung!$M$16+Berechnung!$O$16</f>
        <v>2291.9999999999995</v>
      </c>
      <c r="C87" s="223">
        <f>B87/Berechnung!$I$4</f>
        <v>0.09004285714285715</v>
      </c>
      <c r="D87" s="215" t="s">
        <v>109</v>
      </c>
      <c r="E87" s="215"/>
      <c r="F87" s="215"/>
      <c r="G87" s="215"/>
      <c r="H87" s="188" t="s">
        <v>111</v>
      </c>
      <c r="I87" s="189">
        <f>I85+C87</f>
        <v>0.10104285714285716</v>
      </c>
      <c r="J87" s="190" t="s">
        <v>112</v>
      </c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27"/>
      <c r="W87" s="213"/>
      <c r="X87" s="213"/>
      <c r="Y87" s="213"/>
      <c r="Z87" s="213"/>
    </row>
    <row r="88" spans="1:26" ht="12.75">
      <c r="A88" s="219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27"/>
      <c r="W88" s="213"/>
      <c r="X88" s="213"/>
      <c r="Y88" s="213"/>
      <c r="Z88" s="213"/>
    </row>
    <row r="89" spans="1:26" ht="12.75">
      <c r="A89" s="219"/>
      <c r="B89" s="224">
        <v>0</v>
      </c>
      <c r="C89" s="224">
        <v>1</v>
      </c>
      <c r="D89" s="224">
        <v>2</v>
      </c>
      <c r="E89" s="224">
        <v>3</v>
      </c>
      <c r="F89" s="224">
        <v>4</v>
      </c>
      <c r="G89" s="224">
        <v>5</v>
      </c>
      <c r="H89" s="224">
        <v>6</v>
      </c>
      <c r="I89" s="224">
        <v>7</v>
      </c>
      <c r="J89" s="224">
        <v>8</v>
      </c>
      <c r="K89" s="224">
        <v>9</v>
      </c>
      <c r="L89" s="224">
        <v>10</v>
      </c>
      <c r="M89" s="224">
        <v>11</v>
      </c>
      <c r="N89" s="224">
        <v>12</v>
      </c>
      <c r="O89" s="224">
        <v>13</v>
      </c>
      <c r="P89" s="224">
        <v>14</v>
      </c>
      <c r="Q89" s="224">
        <v>15</v>
      </c>
      <c r="R89" s="224">
        <v>16</v>
      </c>
      <c r="S89" s="224">
        <v>17</v>
      </c>
      <c r="T89" s="224">
        <v>18</v>
      </c>
      <c r="U89" s="224">
        <v>19</v>
      </c>
      <c r="V89" s="228">
        <v>20</v>
      </c>
      <c r="W89" s="213"/>
      <c r="X89" s="213"/>
      <c r="Y89" s="213"/>
      <c r="Z89" s="213"/>
    </row>
    <row r="90" spans="1:26" ht="13.5" thickBot="1">
      <c r="A90" s="220"/>
      <c r="B90" s="225">
        <f aca="true" t="shared" si="3" ref="B90:V90">($B$85-$B$84)-B89*($B$86-$B$87)</f>
        <v>-9400</v>
      </c>
      <c r="C90" s="225">
        <f t="shared" si="3"/>
        <v>-8741.142857142857</v>
      </c>
      <c r="D90" s="225">
        <f t="shared" si="3"/>
        <v>-8082.285714285715</v>
      </c>
      <c r="E90" s="225">
        <f t="shared" si="3"/>
        <v>-7423.4285714285725</v>
      </c>
      <c r="F90" s="225">
        <f t="shared" si="3"/>
        <v>-6764.571428571429</v>
      </c>
      <c r="G90" s="225">
        <f t="shared" si="3"/>
        <v>-6105.714285714286</v>
      </c>
      <c r="H90" s="225">
        <f t="shared" si="3"/>
        <v>-5446.857142857144</v>
      </c>
      <c r="I90" s="225">
        <f t="shared" si="3"/>
        <v>-4788.000000000002</v>
      </c>
      <c r="J90" s="225">
        <f t="shared" si="3"/>
        <v>-4129.142857142859</v>
      </c>
      <c r="K90" s="225">
        <f t="shared" si="3"/>
        <v>-3470.2857142857156</v>
      </c>
      <c r="L90" s="225">
        <f t="shared" si="3"/>
        <v>-2811.4285714285734</v>
      </c>
      <c r="M90" s="225">
        <f t="shared" si="3"/>
        <v>-2152.571428571431</v>
      </c>
      <c r="N90" s="225">
        <f t="shared" si="3"/>
        <v>-1493.714285714288</v>
      </c>
      <c r="O90" s="225">
        <f t="shared" si="3"/>
        <v>-834.8571428571449</v>
      </c>
      <c r="P90" s="225">
        <f t="shared" si="3"/>
        <v>-176.00000000000364</v>
      </c>
      <c r="Q90" s="225">
        <f t="shared" si="3"/>
        <v>482.8571428571395</v>
      </c>
      <c r="R90" s="225">
        <f t="shared" si="3"/>
        <v>1141.7142857142826</v>
      </c>
      <c r="S90" s="225">
        <f t="shared" si="3"/>
        <v>1800.5714285714257</v>
      </c>
      <c r="T90" s="225">
        <f t="shared" si="3"/>
        <v>2459.428571428569</v>
      </c>
      <c r="U90" s="225">
        <f t="shared" si="3"/>
        <v>3118.28571428571</v>
      </c>
      <c r="V90" s="229">
        <f t="shared" si="3"/>
        <v>3777.1428571428532</v>
      </c>
      <c r="W90" s="213"/>
      <c r="X90" s="213"/>
      <c r="Y90" s="213"/>
      <c r="Z90" s="213"/>
    </row>
    <row r="91" spans="1:26" ht="12.75">
      <c r="A91" s="369"/>
      <c r="B91" s="370">
        <v>0</v>
      </c>
      <c r="C91" s="370">
        <v>1</v>
      </c>
      <c r="D91" s="370">
        <v>2</v>
      </c>
      <c r="E91" s="370">
        <v>3</v>
      </c>
      <c r="F91" s="370">
        <v>4</v>
      </c>
      <c r="G91" s="370">
        <v>5</v>
      </c>
      <c r="H91" s="370">
        <v>6</v>
      </c>
      <c r="I91" s="370">
        <v>7</v>
      </c>
      <c r="J91" s="370">
        <v>8</v>
      </c>
      <c r="K91" s="370">
        <v>9</v>
      </c>
      <c r="L91" s="370">
        <v>10</v>
      </c>
      <c r="M91" s="370">
        <v>11</v>
      </c>
      <c r="N91" s="370">
        <v>12</v>
      </c>
      <c r="O91" s="370">
        <v>13</v>
      </c>
      <c r="P91" s="370">
        <v>14</v>
      </c>
      <c r="Q91" s="370">
        <v>15</v>
      </c>
      <c r="R91" s="370">
        <v>16</v>
      </c>
      <c r="S91" s="370">
        <v>17</v>
      </c>
      <c r="T91" s="370">
        <v>18</v>
      </c>
      <c r="U91" s="370">
        <v>19</v>
      </c>
      <c r="V91" s="371">
        <v>20</v>
      </c>
      <c r="W91" s="213"/>
      <c r="X91" s="213"/>
      <c r="Y91" s="213"/>
      <c r="Z91" s="213"/>
    </row>
    <row r="92" spans="1:26" ht="13.5" thickBot="1">
      <c r="A92" s="220"/>
      <c r="B92" s="225">
        <f>($B$85-$B$84)-B91*($B$86-$B$87)-'Rent Pell-Gas'!$C$8</f>
        <v>-9400</v>
      </c>
      <c r="C92" s="225">
        <f>($B$85-$B$84)-C91*($B$86-$B$87)-'Rent Pell-Gas'!$C$8</f>
        <v>-8741.142857142857</v>
      </c>
      <c r="D92" s="225">
        <f>($B$85-$B$84)-D91*($B$86-$B$87)-'Rent Pell-Gas'!$C$8</f>
        <v>-8082.285714285715</v>
      </c>
      <c r="E92" s="225">
        <f>($B$85-$B$84)-E91*($B$86-$B$87)-'Rent Pell-Gas'!$C$8</f>
        <v>-7423.4285714285725</v>
      </c>
      <c r="F92" s="225">
        <f>($B$85-$B$84)-F91*($B$86-$B$87)-'Rent Pell-Gas'!$C$8</f>
        <v>-6764.571428571429</v>
      </c>
      <c r="G92" s="225">
        <f>($B$85-$B$84)-G91*($B$86-$B$87)-'Rent Pell-Gas'!$C$8</f>
        <v>-6105.714285714286</v>
      </c>
      <c r="H92" s="225">
        <f>($B$85-$B$84)-H91*($B$86-$B$87)-'Rent Pell-Gas'!$C$8</f>
        <v>-5446.857142857144</v>
      </c>
      <c r="I92" s="225">
        <f>($B$85-$B$84)-I91*($B$86-$B$87)-'Rent Pell-Gas'!$C$8</f>
        <v>-4788.000000000002</v>
      </c>
      <c r="J92" s="225">
        <f>($B$85-$B$84)-J91*($B$86-$B$87)-'Rent Pell-Gas'!$C$8</f>
        <v>-4129.142857142859</v>
      </c>
      <c r="K92" s="225">
        <f>($B$85-$B$84)-K91*($B$86-$B$87)-'Rent Pell-Gas'!$C$8</f>
        <v>-3470.2857142857156</v>
      </c>
      <c r="L92" s="225">
        <f>($B$85-$B$84)-L91*($B$86-$B$87)-'Rent Pell-Gas'!$C$8</f>
        <v>-2811.4285714285734</v>
      </c>
      <c r="M92" s="225">
        <f>($B$85-$B$84)-M91*($B$86-$B$87)-'Rent Pell-Gas'!$C$8</f>
        <v>-2152.571428571431</v>
      </c>
      <c r="N92" s="225">
        <f>($B$85-$B$84)-N91*($B$86-$B$87)-'Rent Pell-Gas'!$C$8</f>
        <v>-1493.714285714288</v>
      </c>
      <c r="O92" s="225">
        <f>($B$85-$B$84)-O91*($B$86-$B$87)-'Rent Pell-Gas'!$C$8</f>
        <v>-834.8571428571449</v>
      </c>
      <c r="P92" s="225">
        <f>($B$85-$B$84)-P91*($B$86-$B$87)-'Rent Pell-Gas'!$C$8</f>
        <v>-176.00000000000364</v>
      </c>
      <c r="Q92" s="225">
        <f>($B$85-$B$84)-Q91*($B$86-$B$87)-'Rent Pell-Gas'!$C$8</f>
        <v>482.8571428571395</v>
      </c>
      <c r="R92" s="225">
        <f>($B$85-$B$84)-R91*($B$86-$B$87)-'Rent Pell-Gas'!$C$8</f>
        <v>1141.7142857142826</v>
      </c>
      <c r="S92" s="225">
        <f>($B$85-$B$84)-S91*($B$86-$B$87)-'Rent Pell-Gas'!$C$8</f>
        <v>1800.5714285714257</v>
      </c>
      <c r="T92" s="225">
        <f>($B$85-$B$84)-T91*($B$86-$B$87)-'Rent Pell-Gas'!$C$8</f>
        <v>2459.428571428569</v>
      </c>
      <c r="U92" s="225">
        <f>($B$85-$B$84)-U91*($B$86-$B$87)-'Rent Pell-Gas'!$C$8</f>
        <v>3118.28571428571</v>
      </c>
      <c r="V92" s="229">
        <f>($B$85-$B$84)-V91*($B$86-$B$87)-'Rent Pell-Gas'!$C$8</f>
        <v>3777.1428571428532</v>
      </c>
      <c r="W92" s="213"/>
      <c r="X92" s="213"/>
      <c r="Y92" s="213"/>
      <c r="Z92" s="213"/>
    </row>
    <row r="93" spans="1:26" ht="12.7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</row>
    <row r="94" spans="1:26" ht="12.7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</row>
    <row r="95" spans="1:26" ht="12.7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</row>
    <row r="96" spans="1:26" ht="12.7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</row>
    <row r="97" spans="1:26" ht="12.7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</row>
    <row r="98" spans="1:26" ht="12.7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</row>
    <row r="99" spans="1:26" ht="15.75">
      <c r="A99" s="250" t="s">
        <v>67</v>
      </c>
      <c r="B99" s="251" t="s">
        <v>119</v>
      </c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</row>
    <row r="100" spans="1:26" ht="15">
      <c r="A100" s="249" t="s">
        <v>37</v>
      </c>
      <c r="B100" s="237">
        <f>'CO2 und Feinstaub'!G9</f>
        <v>0.8909090909090907</v>
      </c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</row>
    <row r="101" spans="1:26" ht="15">
      <c r="A101" s="232" t="s">
        <v>38</v>
      </c>
      <c r="B101" s="238">
        <f>'CO2 und Feinstaub'!G11</f>
        <v>1.018181818181818</v>
      </c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</row>
    <row r="102" spans="1:26" ht="15">
      <c r="A102" s="233" t="s">
        <v>65</v>
      </c>
      <c r="B102" s="239">
        <f>'CO2 und Feinstaub'!G13</f>
        <v>0.8909090909090907</v>
      </c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</row>
    <row r="103" spans="1:26" ht="15">
      <c r="A103" s="234" t="s">
        <v>39</v>
      </c>
      <c r="B103" s="240">
        <f>'CO2 und Feinstaub'!G17</f>
        <v>6.032727272727271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</row>
    <row r="104" spans="1:26" ht="15">
      <c r="A104" s="235" t="s">
        <v>40</v>
      </c>
      <c r="B104" s="241">
        <f>'CO2 und Feinstaub'!G19</f>
        <v>8.45090909090909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</row>
    <row r="105" spans="1:26" ht="15">
      <c r="A105" s="236" t="s">
        <v>41</v>
      </c>
      <c r="B105" s="242">
        <f>'CO2 und Feinstaub'!G21</f>
        <v>5.09090909090909</v>
      </c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</row>
    <row r="106" spans="1:26" ht="12.7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</row>
    <row r="107" spans="1:26" ht="15.75">
      <c r="A107" s="250" t="s">
        <v>67</v>
      </c>
      <c r="B107" s="251" t="s">
        <v>120</v>
      </c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</row>
    <row r="108" spans="1:26" ht="15">
      <c r="A108" s="249" t="s">
        <v>37</v>
      </c>
      <c r="B108" s="243">
        <f>'CO2 und Feinstaub'!I9</f>
        <v>1.374545454545454</v>
      </c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</row>
    <row r="109" spans="1:26" ht="15">
      <c r="A109" s="232" t="s">
        <v>38</v>
      </c>
      <c r="B109" s="248">
        <f>'CO2 und Feinstaub'!I11</f>
        <v>0.9163636363636362</v>
      </c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</row>
    <row r="110" spans="1:26" ht="15">
      <c r="A110" s="233" t="s">
        <v>65</v>
      </c>
      <c r="B110" s="247">
        <f>'CO2 und Feinstaub'!I13</f>
        <v>8.247272727272726</v>
      </c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</row>
    <row r="111" spans="1:26" ht="15">
      <c r="A111" s="233" t="s">
        <v>127</v>
      </c>
      <c r="B111" s="247">
        <f>'CO2 und Feinstaub'!I15</f>
        <v>1.527272727272727</v>
      </c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</row>
    <row r="112" spans="1:26" ht="15">
      <c r="A112" s="234" t="s">
        <v>39</v>
      </c>
      <c r="B112" s="246">
        <f>'CO2 und Feinstaub'!I17</f>
        <v>0.2545454545454545</v>
      </c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</row>
    <row r="113" spans="1:26" ht="15">
      <c r="A113" s="235" t="s">
        <v>40</v>
      </c>
      <c r="B113" s="245">
        <f>'CO2 und Feinstaub'!I19</f>
        <v>0.3818181818181817</v>
      </c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</row>
    <row r="114" spans="1:26" ht="15">
      <c r="A114" s="236" t="s">
        <v>41</v>
      </c>
      <c r="B114" s="244">
        <f>'CO2 und Feinstaub'!I21</f>
        <v>0.30545454545454537</v>
      </c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</row>
    <row r="115" spans="1:26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</row>
    <row r="116" spans="1:26" ht="12.7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</row>
    <row r="117" spans="1:26" ht="12.7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</row>
    <row r="118" spans="1:26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</row>
    <row r="119" spans="1:26" ht="12.7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</row>
    <row r="120" spans="1:26" ht="12.7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</row>
    <row r="121" spans="1:26" ht="12.7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</row>
    <row r="122" spans="1:26" ht="12.7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</row>
    <row r="123" spans="1:26" ht="12.7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</row>
    <row r="124" spans="1:26" ht="12.7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</row>
    <row r="125" spans="1:26" ht="12.7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</row>
    <row r="126" spans="1:26" ht="12.7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</row>
    <row r="127" spans="1:26" ht="12.7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</row>
    <row r="128" spans="1:26" ht="12.7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</row>
    <row r="129" spans="1:26" ht="12.7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</row>
    <row r="130" spans="1:26" ht="12.7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</row>
    <row r="131" spans="1:26" ht="12.7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</row>
    <row r="132" spans="1:26" ht="12.7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</row>
  </sheetData>
  <sheetProtection password="EF7E" sheet="1" objects="1" scenarios="1" selectLockedCell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Hargassner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Hargassner</dc:creator>
  <cp:keywords/>
  <dc:description/>
  <cp:lastModifiedBy>Uwe Schlüter</cp:lastModifiedBy>
  <cp:lastPrinted>2013-02-23T17:57:26Z</cp:lastPrinted>
  <dcterms:created xsi:type="dcterms:W3CDTF">2007-03-06T13:12:16Z</dcterms:created>
  <dcterms:modified xsi:type="dcterms:W3CDTF">2013-02-23T17:58:07Z</dcterms:modified>
  <cp:category/>
  <cp:version/>
  <cp:contentType/>
  <cp:contentStatus/>
</cp:coreProperties>
</file>