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<sst xmlns="http://schemas.openxmlformats.org/spreadsheetml/2006/main" count="100" uniqueCount="92">
  <si>
    <t>Jahreswärmebedarf in kWh =</t>
  </si>
  <si>
    <t>Wärmebedarf in kW:</t>
  </si>
  <si>
    <t>Jahresölbedarf in l =</t>
  </si>
  <si>
    <t>Ölpreis in €/l:</t>
  </si>
  <si>
    <t>Jahresholzbedarf in kg =</t>
  </si>
  <si>
    <t>Jahresholzkosten =</t>
  </si>
  <si>
    <t>Jahresölkosten =</t>
  </si>
  <si>
    <t xml:space="preserve">Investition Ölfeuerung: </t>
  </si>
  <si>
    <t>Annuitätenfaktor gem. Tabelle:</t>
  </si>
  <si>
    <t>Betriebskosten Holzfeuerung =</t>
  </si>
  <si>
    <t>Betriebskosten Ölfeuerung =</t>
  </si>
  <si>
    <t>Jahreskosten Ölfeuerung =</t>
  </si>
  <si>
    <t>Jahreskosten Holzfeuerung =</t>
  </si>
  <si>
    <t>Projektname:</t>
  </si>
  <si>
    <t>Preis/srm in €:</t>
  </si>
  <si>
    <t>Feuerungsanlage:</t>
  </si>
  <si>
    <t>Stundensatz Bediener:</t>
  </si>
  <si>
    <t>Betriebsstunden:</t>
  </si>
  <si>
    <t>Entsorgungskosten Restholz in €:</t>
  </si>
  <si>
    <t>Schüttgew. kg/m³:</t>
  </si>
  <si>
    <t>Lager/Tank:</t>
  </si>
  <si>
    <t>Kosten für Lager:</t>
  </si>
  <si>
    <t>Kosten für Tank:</t>
  </si>
  <si>
    <t>Anschlußwert kW:</t>
  </si>
  <si>
    <t>Holzfeuerung:</t>
  </si>
  <si>
    <t>Ölfeuerung:</t>
  </si>
  <si>
    <t>Strompreis in €/kWh:</t>
  </si>
  <si>
    <t>(F24 : F4) : 1000</t>
  </si>
  <si>
    <t>(F25 : F4) : 1000</t>
  </si>
  <si>
    <t>C4 x E4</t>
  </si>
  <si>
    <t xml:space="preserve">(F4 : B9) : C10) - B11 </t>
  </si>
  <si>
    <t xml:space="preserve">(F4 : 10) : C6 </t>
  </si>
  <si>
    <t>F6 x C7</t>
  </si>
  <si>
    <t>Formelerklärung:</t>
  </si>
  <si>
    <t>Aschegehalt lt. Tabelle:</t>
  </si>
  <si>
    <t>F10 x C13/100 x 0,4 €/kg</t>
  </si>
  <si>
    <t>Ascheentsorgungskosten =</t>
  </si>
  <si>
    <t>Kapitaldienst Holzfeuerung =</t>
  </si>
  <si>
    <t>Kapitaldienst Ölfeuerung =</t>
  </si>
  <si>
    <t>eigenes Holz, kostenlos in kg:</t>
  </si>
  <si>
    <t>CO2-Ausstoß Holzfeuerung in t:</t>
  </si>
  <si>
    <t>CO2-Ausstoß Ölfeuerung in t:</t>
  </si>
  <si>
    <t>Jahreswärmebedarf (kW):</t>
  </si>
  <si>
    <t>Jahresölbedarf (l):</t>
  </si>
  <si>
    <t>Jahresholzbedarf (kg):</t>
  </si>
  <si>
    <t>Jahresölkosten (€):</t>
  </si>
  <si>
    <t>Jahresholzkosten (€):</t>
  </si>
  <si>
    <t>Ascheentsorgungskosten (€):</t>
  </si>
  <si>
    <t>Kapitaldienst Holzfeuerung (€):</t>
  </si>
  <si>
    <t>Kapitaldienst Ölfeuerung (€):</t>
  </si>
  <si>
    <t>Betriebskosten Holzfeuerung (€):</t>
  </si>
  <si>
    <t>Betriebskosten Ölfeuerung (€):</t>
  </si>
  <si>
    <t>Jahreskosten Holzfeuerung (€):</t>
  </si>
  <si>
    <t>Jahreskosten Ölfeuerung (€):</t>
  </si>
  <si>
    <t>Wärmegestehungskosten Holzfeuerung (€/MWh):</t>
  </si>
  <si>
    <t>Wärmegestehungskosten Ölfeuerung (€/MWh):</t>
  </si>
  <si>
    <t>Jahresnutzungsgr.Holzk.:</t>
  </si>
  <si>
    <t>CO2-Ausstoß Holzfeuerung:</t>
  </si>
  <si>
    <t>F4/1000*0,04/C10</t>
  </si>
  <si>
    <t>Wärmeverbrauch in MWh x 0,04 t/MWh : Jahresnutzungsgrad</t>
  </si>
  <si>
    <t>CO2-Ausstoß Ölfeuerung:</t>
  </si>
  <si>
    <t>F4/1000*0,36/C6</t>
  </si>
  <si>
    <t>Wärmeverbrauch in MWh x 0,36 t/MWh : Jahresnutzungsgrad</t>
  </si>
  <si>
    <t xml:space="preserve">Investition Holzfeuerung*: </t>
  </si>
  <si>
    <t>Personal* + Ersatzteile + Strom (0,8 ist Gleichzeitigkeit) + Meßungen</t>
  </si>
  <si>
    <t>(F12-E11) + F13 + F18 + F21</t>
  </si>
  <si>
    <t>(F10 : E12) x C12</t>
  </si>
  <si>
    <t>B15 x C17 + D15 x E17</t>
  </si>
  <si>
    <t>B16 x C17 + D16 x E17</t>
  </si>
  <si>
    <t>F7 + F19 + F23 + E11</t>
  </si>
  <si>
    <t xml:space="preserve">Differenz: </t>
  </si>
  <si>
    <t>Ölheizung</t>
  </si>
  <si>
    <t>Holzheizung</t>
  </si>
  <si>
    <t>Brennstoffkosten</t>
  </si>
  <si>
    <t>Kapital- und</t>
  </si>
  <si>
    <t>Gesamtkosten</t>
  </si>
  <si>
    <t>Jahr</t>
  </si>
  <si>
    <t>4 % Teuerungszuschlag</t>
  </si>
  <si>
    <t>8 % TZ</t>
  </si>
  <si>
    <t>Betriebskosten</t>
  </si>
  <si>
    <t>4 % TZ</t>
  </si>
  <si>
    <t>1,5 % TZ</t>
  </si>
  <si>
    <t>Summe</t>
  </si>
  <si>
    <t>Differenz</t>
  </si>
  <si>
    <t>Jahresnutzungsgrad Ölk.:</t>
  </si>
  <si>
    <t>Heizwert Holz kWh/kg:</t>
  </si>
  <si>
    <t xml:space="preserve">     Wärmegestehungskosten in €/MWh =</t>
  </si>
  <si>
    <t>Hackschnitzelfeuerung</t>
  </si>
  <si>
    <t>* Fördermittel in Höhe von 1.400,- € sind berücksichtigt.</t>
  </si>
  <si>
    <t>Personal: bei Pelletfeuerungen ca. 30h/a, bei Hackschnitzel zw. 60 und 120 h/a</t>
  </si>
  <si>
    <t xml:space="preserve">(60 x C21) + (0,015 x B15) + (C22 x E4 x E21 x 0,8) + 200 </t>
  </si>
  <si>
    <t>(5 x C21) + (0,01 x B16) + (E23 x E4 x C21 x 0,8) + 100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</si>
</sst>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62"/>
      <name val="Times New Roman"/>
      <family val="2"/>
    </font>
    <font>
      <b/>
      <sz val="14"/>
      <color indexed="8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9"/>
      <color indexed="8"/>
      <name val="Arial"/>
      <family val="0"/>
    </font>
    <font>
      <vertAlign val="subscript"/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bscript"/>
      <sz val="10.75"/>
      <color indexed="8"/>
      <name val="Arial"/>
      <family val="0"/>
    </font>
    <font>
      <sz val="7.55"/>
      <color indexed="8"/>
      <name val="Arial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3F3F76"/>
      <name val="Times New Roman"/>
      <family val="2"/>
    </font>
    <font>
      <b/>
      <sz val="14"/>
      <color theme="1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b/>
      <sz val="14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33" borderId="12" xfId="0" applyNumberFormat="1" applyFont="1" applyFill="1" applyBorder="1" applyAlignment="1">
      <alignment/>
    </xf>
    <xf numFmtId="44" fontId="1" fillId="0" borderId="12" xfId="46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44" fontId="1" fillId="33" borderId="12" xfId="46" applyFont="1" applyFill="1" applyBorder="1" applyAlignment="1">
      <alignment/>
    </xf>
    <xf numFmtId="44" fontId="1" fillId="0" borderId="18" xfId="46" applyFont="1" applyBorder="1" applyAlignment="1">
      <alignment/>
    </xf>
    <xf numFmtId="1" fontId="1" fillId="34" borderId="16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165" fontId="1" fillId="33" borderId="13" xfId="0" applyNumberFormat="1" applyFont="1" applyFill="1" applyBorder="1" applyAlignment="1">
      <alignment/>
    </xf>
    <xf numFmtId="44" fontId="1" fillId="0" borderId="15" xfId="46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34" borderId="2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4" fontId="2" fillId="0" borderId="21" xfId="46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44" fontId="1" fillId="0" borderId="22" xfId="46" applyFont="1" applyBorder="1" applyAlignment="1">
      <alignment horizontal="left"/>
    </xf>
    <xf numFmtId="44" fontId="2" fillId="0" borderId="23" xfId="46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24" xfId="46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44" fontId="1" fillId="0" borderId="23" xfId="46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44" fontId="1" fillId="0" borderId="0" xfId="46" applyFont="1" applyAlignment="1">
      <alignment/>
    </xf>
    <xf numFmtId="0" fontId="1" fillId="0" borderId="27" xfId="0" applyFont="1" applyBorder="1" applyAlignment="1">
      <alignment/>
    </xf>
    <xf numFmtId="44" fontId="1" fillId="0" borderId="27" xfId="46" applyFont="1" applyBorder="1" applyAlignment="1">
      <alignment/>
    </xf>
    <xf numFmtId="0" fontId="1" fillId="0" borderId="0" xfId="0" applyFont="1" applyFill="1" applyAlignment="1">
      <alignment/>
    </xf>
    <xf numFmtId="44" fontId="1" fillId="0" borderId="0" xfId="46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Wärmegestehungskosten</a:t>
            </a:r>
          </a:p>
        </c:rich>
      </c:tx>
      <c:layout>
        <c:manualLayout>
          <c:xMode val="factor"/>
          <c:yMode val="factor"/>
          <c:x val="0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375"/>
          <c:w val="0.817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v>Holz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Wärmegestehungskosten</c:v>
              </c:pt>
            </c:strLit>
          </c:cat>
          <c:val>
            <c:numRef>
              <c:f>Tabelle1!$F$27</c:f>
              <c:numCache/>
            </c:numRef>
          </c:val>
        </c:ser>
        <c:ser>
          <c:idx val="1"/>
          <c:order val="1"/>
          <c:tx>
            <c:v>Öl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Wärmegestehungskosten</c:v>
              </c:pt>
            </c:strLit>
          </c:cat>
          <c:val>
            <c:numRef>
              <c:f>Tabelle1!$F$28</c:f>
              <c:numCache/>
            </c:numRef>
          </c:val>
        </c:ser>
        <c:axId val="5958399"/>
        <c:axId val="51751616"/>
      </c:barChart>
      <c:catAx>
        <c:axId val="59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1616"/>
        <c:crosses val="autoZero"/>
        <c:auto val="1"/>
        <c:lblOffset val="100"/>
        <c:tickLblSkip val="1"/>
        <c:noMultiLvlLbl val="0"/>
      </c:catAx>
      <c:valAx>
        <c:axId val="5175161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€/MWh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39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4635"/>
          <c:w val="0.090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</a:t>
            </a:r>
            <a:r>
              <a:rPr lang="en-US" cap="none" sz="107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-Ausstoß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375"/>
          <c:w val="0.7867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v>Holz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Tabelle1!$B$27</c:f>
              <c:numCache/>
            </c:numRef>
          </c:val>
        </c:ser>
        <c:ser>
          <c:idx val="1"/>
          <c:order val="1"/>
          <c:tx>
            <c:v>Öl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Tabelle1!$B$28</c:f>
              <c:numCache/>
            </c:numRef>
          </c:val>
        </c:ser>
        <c:axId val="8411841"/>
        <c:axId val="9898754"/>
      </c:barChart>
      <c:catAx>
        <c:axId val="841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-Ausstoß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9898754"/>
        <c:crosses val="autoZero"/>
        <c:auto val="1"/>
        <c:lblOffset val="100"/>
        <c:tickLblSkip val="1"/>
        <c:noMultiLvlLbl val="0"/>
      </c:catAx>
      <c:valAx>
        <c:axId val="98987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tCO2/a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18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495"/>
          <c:w val="0.102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0</xdr:rowOff>
    </xdr:from>
    <xdr:to>
      <xdr:col>2</xdr:col>
      <xdr:colOff>895350</xdr:colOff>
      <xdr:row>44</xdr:row>
      <xdr:rowOff>76200</xdr:rowOff>
    </xdr:to>
    <xdr:graphicFrame>
      <xdr:nvGraphicFramePr>
        <xdr:cNvPr id="1" name="Chart 2"/>
        <xdr:cNvGraphicFramePr/>
      </xdr:nvGraphicFramePr>
      <xdr:xfrm>
        <a:off x="285750" y="6715125"/>
        <a:ext cx="50387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32</xdr:row>
      <xdr:rowOff>19050</xdr:rowOff>
    </xdr:from>
    <xdr:to>
      <xdr:col>5</xdr:col>
      <xdr:colOff>1162050</xdr:colOff>
      <xdr:row>44</xdr:row>
      <xdr:rowOff>95250</xdr:rowOff>
    </xdr:to>
    <xdr:graphicFrame>
      <xdr:nvGraphicFramePr>
        <xdr:cNvPr id="2" name="Chart 3"/>
        <xdr:cNvGraphicFramePr/>
      </xdr:nvGraphicFramePr>
      <xdr:xfrm>
        <a:off x="5876925" y="6734175"/>
        <a:ext cx="41910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6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36.421875" style="1" customWidth="1"/>
    <col min="2" max="2" width="30.00390625" style="1" customWidth="1"/>
    <col min="3" max="3" width="20.7109375" style="1" customWidth="1"/>
    <col min="4" max="4" width="25.7109375" style="1" customWidth="1"/>
    <col min="5" max="6" width="20.7109375" style="1" customWidth="1"/>
    <col min="7" max="7" width="19.57421875" style="1" customWidth="1"/>
    <col min="8" max="8" width="17.00390625" style="1" customWidth="1"/>
    <col min="9" max="9" width="16.57421875" style="1" customWidth="1"/>
    <col min="10" max="16384" width="11.421875" style="1" customWidth="1"/>
  </cols>
  <sheetData>
    <row r="1" ht="9.75" customHeight="1"/>
    <row r="2" spans="1:3" ht="18" customHeight="1">
      <c r="A2" s="2" t="s">
        <v>13</v>
      </c>
      <c r="B2" s="3" t="s">
        <v>87</v>
      </c>
      <c r="C2" s="53"/>
    </row>
    <row r="3" ht="10.5" customHeight="1"/>
    <row r="4" spans="1:6" ht="18" customHeight="1">
      <c r="A4" s="4" t="s">
        <v>0</v>
      </c>
      <c r="B4" s="5" t="s">
        <v>1</v>
      </c>
      <c r="C4" s="6">
        <v>100</v>
      </c>
      <c r="D4" s="5" t="s">
        <v>17</v>
      </c>
      <c r="E4" s="7">
        <v>1700</v>
      </c>
      <c r="F4" s="8">
        <f>C4*E4</f>
        <v>170000</v>
      </c>
    </row>
    <row r="5" spans="1:6" ht="12" customHeight="1">
      <c r="A5" s="9"/>
      <c r="B5" s="10"/>
      <c r="C5" s="11"/>
      <c r="D5" s="10"/>
      <c r="E5" s="12"/>
      <c r="F5" s="10"/>
    </row>
    <row r="6" spans="1:6" ht="18" customHeight="1">
      <c r="A6" s="13" t="s">
        <v>2</v>
      </c>
      <c r="B6" s="10" t="s">
        <v>84</v>
      </c>
      <c r="C6" s="10">
        <v>0.9</v>
      </c>
      <c r="D6" s="10"/>
      <c r="E6" s="14"/>
      <c r="F6" s="15">
        <f>F4/10/C6</f>
        <v>18888.888888888887</v>
      </c>
    </row>
    <row r="7" spans="1:6" ht="18" customHeight="1">
      <c r="A7" s="13" t="s">
        <v>6</v>
      </c>
      <c r="B7" s="10" t="s">
        <v>3</v>
      </c>
      <c r="C7" s="16">
        <v>0.95</v>
      </c>
      <c r="D7" s="10"/>
      <c r="E7" s="14"/>
      <c r="F7" s="17">
        <f>F6*C7</f>
        <v>17944.44444444444</v>
      </c>
    </row>
    <row r="8" spans="1:6" ht="11.25" customHeight="1">
      <c r="A8" s="13"/>
      <c r="B8" s="10"/>
      <c r="C8" s="11"/>
      <c r="D8" s="10"/>
      <c r="E8" s="14"/>
      <c r="F8" s="10"/>
    </row>
    <row r="9" spans="1:6" ht="18" customHeight="1">
      <c r="A9" s="13" t="s">
        <v>85</v>
      </c>
      <c r="B9" s="18">
        <v>3.5</v>
      </c>
      <c r="C9" s="10"/>
      <c r="D9" s="10"/>
      <c r="E9" s="14"/>
      <c r="F9" s="10"/>
    </row>
    <row r="10" spans="1:6" ht="18" customHeight="1">
      <c r="A10" s="13" t="s">
        <v>4</v>
      </c>
      <c r="B10" s="10" t="s">
        <v>56</v>
      </c>
      <c r="C10" s="10">
        <v>0.85</v>
      </c>
      <c r="D10" s="10"/>
      <c r="E10" s="14"/>
      <c r="F10" s="15">
        <f>(F4/B9/C10)-B11</f>
        <v>57142.857142857145</v>
      </c>
    </row>
    <row r="11" spans="1:6" ht="18" customHeight="1">
      <c r="A11" s="13" t="s">
        <v>39</v>
      </c>
      <c r="B11" s="6"/>
      <c r="C11" s="10" t="s">
        <v>18</v>
      </c>
      <c r="D11" s="10"/>
      <c r="E11" s="19"/>
      <c r="F11" s="10"/>
    </row>
    <row r="12" spans="1:6" ht="18" customHeight="1">
      <c r="A12" s="13" t="s">
        <v>5</v>
      </c>
      <c r="B12" s="10" t="s">
        <v>14</v>
      </c>
      <c r="C12" s="20">
        <v>23</v>
      </c>
      <c r="D12" s="10" t="s">
        <v>19</v>
      </c>
      <c r="E12" s="7">
        <v>350</v>
      </c>
      <c r="F12" s="21">
        <f>(F10/E12)*C12</f>
        <v>3755.1020408163263</v>
      </c>
    </row>
    <row r="13" spans="1:6" ht="18" customHeight="1">
      <c r="A13" s="13" t="s">
        <v>36</v>
      </c>
      <c r="B13" s="10" t="s">
        <v>34</v>
      </c>
      <c r="C13" s="16">
        <v>1</v>
      </c>
      <c r="D13" s="10"/>
      <c r="E13" s="22"/>
      <c r="F13" s="17">
        <f>F10*C13/100*0.4</f>
        <v>228.57142857142858</v>
      </c>
    </row>
    <row r="14" spans="1:6" ht="11.25" customHeight="1">
      <c r="A14" s="13"/>
      <c r="B14" s="10"/>
      <c r="C14" s="11"/>
      <c r="D14" s="10"/>
      <c r="E14" s="22"/>
      <c r="F14" s="10"/>
    </row>
    <row r="15" spans="1:6" ht="18" customHeight="1">
      <c r="A15" s="13" t="s">
        <v>63</v>
      </c>
      <c r="B15" s="20">
        <v>32500</v>
      </c>
      <c r="C15" s="10" t="s">
        <v>21</v>
      </c>
      <c r="D15" s="20">
        <v>5000</v>
      </c>
      <c r="E15" s="14"/>
      <c r="F15" s="10"/>
    </row>
    <row r="16" spans="1:6" ht="18" customHeight="1">
      <c r="A16" s="13" t="s">
        <v>7</v>
      </c>
      <c r="B16" s="20">
        <v>15000</v>
      </c>
      <c r="C16" s="10" t="s">
        <v>22</v>
      </c>
      <c r="D16" s="20">
        <v>5000</v>
      </c>
      <c r="E16" s="14"/>
      <c r="F16" s="10"/>
    </row>
    <row r="17" spans="1:6" ht="18" customHeight="1">
      <c r="A17" s="13" t="s">
        <v>8</v>
      </c>
      <c r="B17" s="11" t="s">
        <v>15</v>
      </c>
      <c r="C17" s="23">
        <v>0.103</v>
      </c>
      <c r="D17" s="10" t="s">
        <v>20</v>
      </c>
      <c r="E17" s="24">
        <v>0.0634</v>
      </c>
      <c r="F17" s="10"/>
    </row>
    <row r="18" spans="1:6" ht="18" customHeight="1">
      <c r="A18" s="13" t="s">
        <v>37</v>
      </c>
      <c r="B18" s="10"/>
      <c r="C18" s="10"/>
      <c r="D18" s="10"/>
      <c r="E18" s="14"/>
      <c r="F18" s="21">
        <f>B15*C17+D15*E17</f>
        <v>3664.5</v>
      </c>
    </row>
    <row r="19" spans="1:6" ht="18" customHeight="1">
      <c r="A19" s="13" t="s">
        <v>38</v>
      </c>
      <c r="B19" s="10"/>
      <c r="C19" s="10"/>
      <c r="D19" s="10"/>
      <c r="E19" s="14"/>
      <c r="F19" s="21">
        <f>B16*C17+D16*E17</f>
        <v>1862</v>
      </c>
    </row>
    <row r="20" spans="1:6" ht="12" customHeight="1">
      <c r="A20" s="13"/>
      <c r="B20" s="10"/>
      <c r="C20" s="10"/>
      <c r="D20" s="10"/>
      <c r="E20" s="14"/>
      <c r="F20" s="10"/>
    </row>
    <row r="21" spans="1:6" ht="18" customHeight="1">
      <c r="A21" s="13" t="s">
        <v>9</v>
      </c>
      <c r="B21" s="10" t="s">
        <v>16</v>
      </c>
      <c r="C21" s="20">
        <v>30</v>
      </c>
      <c r="D21" s="10" t="s">
        <v>23</v>
      </c>
      <c r="E21" s="19">
        <v>2</v>
      </c>
      <c r="F21" s="21">
        <f>60*C21+0.015*B15+C22*E21*0.8*E4+200</f>
        <v>3113.1000000000004</v>
      </c>
    </row>
    <row r="22" spans="1:6" ht="18" customHeight="1">
      <c r="A22" s="13"/>
      <c r="B22" s="10" t="s">
        <v>26</v>
      </c>
      <c r="C22" s="25">
        <v>0.23</v>
      </c>
      <c r="D22" s="26"/>
      <c r="E22" s="27"/>
      <c r="F22" s="10"/>
    </row>
    <row r="23" spans="1:6" ht="18" customHeight="1">
      <c r="A23" s="13" t="s">
        <v>10</v>
      </c>
      <c r="B23" s="10"/>
      <c r="C23" s="10"/>
      <c r="D23" s="10" t="s">
        <v>23</v>
      </c>
      <c r="E23" s="19">
        <v>2</v>
      </c>
      <c r="F23" s="21">
        <f>5*C21+0.01*B16+C22*E23*0.8*E4+100</f>
        <v>1025.6000000000001</v>
      </c>
    </row>
    <row r="24" spans="1:6" ht="12" customHeight="1">
      <c r="A24" s="28"/>
      <c r="B24" s="15"/>
      <c r="C24" s="15"/>
      <c r="D24" s="15"/>
      <c r="E24" s="29"/>
      <c r="F24" s="15"/>
    </row>
    <row r="25" spans="1:6" ht="18" customHeight="1">
      <c r="A25" s="4" t="s">
        <v>12</v>
      </c>
      <c r="B25" s="30"/>
      <c r="C25" s="30"/>
      <c r="D25" s="30"/>
      <c r="E25" s="30"/>
      <c r="F25" s="31">
        <f>F12-E11+F18+F21+F13</f>
        <v>10761.273469387756</v>
      </c>
    </row>
    <row r="26" spans="1:6" ht="18" customHeight="1">
      <c r="A26" s="28" t="s">
        <v>11</v>
      </c>
      <c r="B26" s="32"/>
      <c r="C26" s="33" t="s">
        <v>70</v>
      </c>
      <c r="D26" s="34">
        <f>F26-F25</f>
        <v>10070.770975056685</v>
      </c>
      <c r="E26" s="32"/>
      <c r="F26" s="35">
        <f>F7+F19+F23+E11</f>
        <v>20832.04444444444</v>
      </c>
    </row>
    <row r="27" spans="1:6" ht="18" customHeight="1">
      <c r="A27" s="36" t="s">
        <v>40</v>
      </c>
      <c r="B27" s="5">
        <f>F4/1000*0.04/C10</f>
        <v>8</v>
      </c>
      <c r="C27" s="37" t="s">
        <v>86</v>
      </c>
      <c r="E27" s="37" t="s">
        <v>24</v>
      </c>
      <c r="F27" s="38">
        <f>F25/(F4/1000)</f>
        <v>63.301608643457385</v>
      </c>
    </row>
    <row r="28" spans="1:6" ht="18" customHeight="1">
      <c r="A28" s="39" t="s">
        <v>41</v>
      </c>
      <c r="B28" s="15">
        <f>F4/1000*0.36/C6</f>
        <v>68</v>
      </c>
      <c r="C28" s="40"/>
      <c r="D28" s="40"/>
      <c r="E28" s="40" t="s">
        <v>25</v>
      </c>
      <c r="F28" s="41">
        <f>F26/(F4/1000)</f>
        <v>122.5414379084967</v>
      </c>
    </row>
    <row r="29" spans="1:6" ht="18" customHeight="1">
      <c r="A29" s="37"/>
      <c r="B29" s="30"/>
      <c r="C29" s="37"/>
      <c r="D29" s="37"/>
      <c r="E29" s="37"/>
      <c r="F29" s="54"/>
    </row>
    <row r="30" ht="18" customHeight="1">
      <c r="A30" s="1" t="s">
        <v>88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spans="1:4" ht="18" customHeight="1">
      <c r="A48" s="1" t="s">
        <v>33</v>
      </c>
      <c r="B48" s="1" t="s">
        <v>42</v>
      </c>
      <c r="D48" s="1" t="s">
        <v>29</v>
      </c>
    </row>
    <row r="49" spans="2:4" ht="18" customHeight="1">
      <c r="B49" s="1" t="s">
        <v>43</v>
      </c>
      <c r="D49" s="1" t="s">
        <v>31</v>
      </c>
    </row>
    <row r="50" spans="2:4" ht="18" customHeight="1">
      <c r="B50" s="1" t="s">
        <v>44</v>
      </c>
      <c r="D50" s="1" t="s">
        <v>30</v>
      </c>
    </row>
    <row r="51" spans="2:4" ht="18" customHeight="1">
      <c r="B51" s="1" t="s">
        <v>45</v>
      </c>
      <c r="D51" s="1" t="s">
        <v>32</v>
      </c>
    </row>
    <row r="52" spans="2:4" ht="18" customHeight="1">
      <c r="B52" s="1" t="s">
        <v>46</v>
      </c>
      <c r="D52" s="1" t="s">
        <v>66</v>
      </c>
    </row>
    <row r="53" spans="2:4" ht="18" customHeight="1">
      <c r="B53" s="1" t="s">
        <v>47</v>
      </c>
      <c r="D53" s="1" t="s">
        <v>35</v>
      </c>
    </row>
    <row r="54" spans="2:4" ht="18" customHeight="1">
      <c r="B54" s="1" t="s">
        <v>48</v>
      </c>
      <c r="D54" s="1" t="s">
        <v>67</v>
      </c>
    </row>
    <row r="55" spans="2:4" ht="18" customHeight="1">
      <c r="B55" s="1" t="s">
        <v>49</v>
      </c>
      <c r="D55" s="1" t="s">
        <v>68</v>
      </c>
    </row>
    <row r="56" spans="2:4" ht="18" customHeight="1">
      <c r="B56" s="1" t="s">
        <v>50</v>
      </c>
      <c r="D56" s="1" t="s">
        <v>90</v>
      </c>
    </row>
    <row r="57" ht="18" customHeight="1">
      <c r="D57" s="1" t="s">
        <v>64</v>
      </c>
    </row>
    <row r="58" spans="2:4" ht="18" customHeight="1">
      <c r="B58" s="1" t="s">
        <v>51</v>
      </c>
      <c r="D58" s="1" t="s">
        <v>91</v>
      </c>
    </row>
    <row r="59" spans="2:4" ht="18" customHeight="1">
      <c r="B59" s="1" t="s">
        <v>52</v>
      </c>
      <c r="D59" s="1" t="s">
        <v>65</v>
      </c>
    </row>
    <row r="60" spans="2:4" ht="18" customHeight="1">
      <c r="B60" s="1" t="s">
        <v>53</v>
      </c>
      <c r="D60" s="1" t="s">
        <v>69</v>
      </c>
    </row>
    <row r="61" spans="2:4" ht="18" customHeight="1">
      <c r="B61" s="1" t="s">
        <v>54</v>
      </c>
      <c r="D61" s="1" t="s">
        <v>27</v>
      </c>
    </row>
    <row r="62" spans="2:4" ht="18" customHeight="1">
      <c r="B62" s="1" t="s">
        <v>55</v>
      </c>
      <c r="D62" s="1" t="s">
        <v>28</v>
      </c>
    </row>
    <row r="63" spans="2:4" ht="18" customHeight="1">
      <c r="B63" s="1" t="s">
        <v>60</v>
      </c>
      <c r="D63" s="1" t="s">
        <v>61</v>
      </c>
    </row>
    <row r="64" ht="18" customHeight="1">
      <c r="D64" s="1" t="s">
        <v>62</v>
      </c>
    </row>
    <row r="65" spans="2:4" ht="18" customHeight="1">
      <c r="B65" s="1" t="s">
        <v>57</v>
      </c>
      <c r="D65" s="1" t="s">
        <v>58</v>
      </c>
    </row>
    <row r="66" ht="16.5" customHeight="1">
      <c r="D66" s="1" t="s">
        <v>59</v>
      </c>
    </row>
    <row r="67" ht="18.75">
      <c r="B67" s="1" t="s">
        <v>89</v>
      </c>
    </row>
    <row r="69" ht="23.25" customHeight="1"/>
    <row r="70" spans="2:9" ht="18.75">
      <c r="B70" s="42"/>
      <c r="C70" s="43"/>
      <c r="D70" s="43" t="s">
        <v>71</v>
      </c>
      <c r="E70" s="43"/>
      <c r="F70" s="44"/>
      <c r="G70" s="43"/>
      <c r="H70" s="43" t="s">
        <v>72</v>
      </c>
      <c r="I70" s="44"/>
    </row>
    <row r="71" spans="2:9" ht="18.75">
      <c r="B71" s="26" t="s">
        <v>73</v>
      </c>
      <c r="C71" s="26" t="s">
        <v>73</v>
      </c>
      <c r="D71" s="37" t="s">
        <v>74</v>
      </c>
      <c r="E71" s="36" t="s">
        <v>75</v>
      </c>
      <c r="F71" s="36" t="s">
        <v>75</v>
      </c>
      <c r="G71" s="45" t="s">
        <v>73</v>
      </c>
      <c r="H71" s="36" t="s">
        <v>74</v>
      </c>
      <c r="I71" s="36"/>
    </row>
    <row r="72" spans="1:9" ht="18.75">
      <c r="A72" s="42" t="s">
        <v>76</v>
      </c>
      <c r="B72" s="46" t="s">
        <v>77</v>
      </c>
      <c r="C72" s="46" t="s">
        <v>78</v>
      </c>
      <c r="D72" s="47" t="s">
        <v>79</v>
      </c>
      <c r="E72" s="46" t="s">
        <v>80</v>
      </c>
      <c r="F72" s="46" t="s">
        <v>78</v>
      </c>
      <c r="G72" s="48" t="s">
        <v>81</v>
      </c>
      <c r="H72" s="46" t="s">
        <v>79</v>
      </c>
      <c r="I72" s="46" t="s">
        <v>75</v>
      </c>
    </row>
    <row r="73" spans="1:9" ht="18.75">
      <c r="A73" s="49">
        <v>1</v>
      </c>
      <c r="B73" s="21">
        <f>F7</f>
        <v>17944.44444444444</v>
      </c>
      <c r="C73" s="21">
        <f>F7</f>
        <v>17944.44444444444</v>
      </c>
      <c r="D73" s="17">
        <f>F19+F23</f>
        <v>2887.6000000000004</v>
      </c>
      <c r="E73" s="17">
        <f>SUM(B73+D73)</f>
        <v>20832.044444444444</v>
      </c>
      <c r="F73" s="17">
        <f>SUM(C73+D73)</f>
        <v>20832.044444444444</v>
      </c>
      <c r="G73" s="17">
        <f>F12</f>
        <v>3755.1020408163263</v>
      </c>
      <c r="H73" s="17">
        <f>F13+F18+F21</f>
        <v>7006.171428571429</v>
      </c>
      <c r="I73" s="17">
        <f>SUM(G73:H73)</f>
        <v>10761.273469387756</v>
      </c>
    </row>
    <row r="74" spans="1:9" ht="18.75">
      <c r="A74" s="49">
        <v>2</v>
      </c>
      <c r="B74" s="17">
        <f>B73*1.04</f>
        <v>18662.22222222222</v>
      </c>
      <c r="C74" s="17">
        <f>C73*1.08</f>
        <v>19380</v>
      </c>
      <c r="D74" s="17">
        <f>D73</f>
        <v>2887.6000000000004</v>
      </c>
      <c r="E74" s="17">
        <f aca="true" t="shared" si="0" ref="E74:E92">SUM(B74+D74)</f>
        <v>21549.822222222218</v>
      </c>
      <c r="F74" s="17">
        <f aca="true" t="shared" si="1" ref="F74:F92">SUM(C74+D74)</f>
        <v>22267.6</v>
      </c>
      <c r="G74" s="17">
        <f>G73*1.015</f>
        <v>3811.4285714285706</v>
      </c>
      <c r="H74" s="17">
        <f>H73</f>
        <v>7006.171428571429</v>
      </c>
      <c r="I74" s="17">
        <f aca="true" t="shared" si="2" ref="I74:I92">SUM(G74:H74)</f>
        <v>10817.599999999999</v>
      </c>
    </row>
    <row r="75" spans="1:9" ht="18.75">
      <c r="A75" s="49">
        <v>3</v>
      </c>
      <c r="B75" s="17">
        <f aca="true" t="shared" si="3" ref="B75:B92">B74*1.04</f>
        <v>19408.711111111108</v>
      </c>
      <c r="C75" s="17">
        <f aca="true" t="shared" si="4" ref="C75:C92">C74*1.08</f>
        <v>20930.4</v>
      </c>
      <c r="D75" s="17">
        <f aca="true" t="shared" si="5" ref="D75:D92">D74</f>
        <v>2887.6000000000004</v>
      </c>
      <c r="E75" s="17">
        <f t="shared" si="0"/>
        <v>22296.311111111107</v>
      </c>
      <c r="F75" s="17">
        <f t="shared" si="1"/>
        <v>23818</v>
      </c>
      <c r="G75" s="17">
        <f aca="true" t="shared" si="6" ref="G75:G92">G74*1.015</f>
        <v>3868.599999999999</v>
      </c>
      <c r="H75" s="17">
        <f aca="true" t="shared" si="7" ref="H75:H92">H74</f>
        <v>7006.171428571429</v>
      </c>
      <c r="I75" s="17">
        <f t="shared" si="2"/>
        <v>10874.771428571428</v>
      </c>
    </row>
    <row r="76" spans="1:9" ht="18.75">
      <c r="A76" s="49">
        <v>4</v>
      </c>
      <c r="B76" s="17">
        <f t="shared" si="3"/>
        <v>20185.059555555552</v>
      </c>
      <c r="C76" s="17">
        <f t="shared" si="4"/>
        <v>22604.832000000002</v>
      </c>
      <c r="D76" s="17">
        <f t="shared" si="5"/>
        <v>2887.6000000000004</v>
      </c>
      <c r="E76" s="17">
        <f t="shared" si="0"/>
        <v>23072.659555555554</v>
      </c>
      <c r="F76" s="17">
        <f t="shared" si="1"/>
        <v>25492.432</v>
      </c>
      <c r="G76" s="17">
        <f t="shared" si="6"/>
        <v>3926.6289999999985</v>
      </c>
      <c r="H76" s="17">
        <f t="shared" si="7"/>
        <v>7006.171428571429</v>
      </c>
      <c r="I76" s="17">
        <f t="shared" si="2"/>
        <v>10932.800428571427</v>
      </c>
    </row>
    <row r="77" spans="1:9" ht="18.75">
      <c r="A77" s="49">
        <v>5</v>
      </c>
      <c r="B77" s="17">
        <f t="shared" si="3"/>
        <v>20992.461937777774</v>
      </c>
      <c r="C77" s="17">
        <f t="shared" si="4"/>
        <v>24413.218560000005</v>
      </c>
      <c r="D77" s="17">
        <f t="shared" si="5"/>
        <v>2887.6000000000004</v>
      </c>
      <c r="E77" s="17">
        <f t="shared" si="0"/>
        <v>23880.061937777777</v>
      </c>
      <c r="F77" s="17">
        <f t="shared" si="1"/>
        <v>27300.818560000007</v>
      </c>
      <c r="G77" s="17">
        <f t="shared" si="6"/>
        <v>3985.5284349999984</v>
      </c>
      <c r="H77" s="17">
        <f t="shared" si="7"/>
        <v>7006.171428571429</v>
      </c>
      <c r="I77" s="17">
        <f t="shared" si="2"/>
        <v>10991.699863571426</v>
      </c>
    </row>
    <row r="78" spans="1:9" ht="18.75">
      <c r="A78" s="49">
        <v>6</v>
      </c>
      <c r="B78" s="17">
        <f t="shared" si="3"/>
        <v>21832.160415288887</v>
      </c>
      <c r="C78" s="17">
        <f t="shared" si="4"/>
        <v>26366.276044800008</v>
      </c>
      <c r="D78" s="17">
        <f t="shared" si="5"/>
        <v>2887.6000000000004</v>
      </c>
      <c r="E78" s="17">
        <f t="shared" si="0"/>
        <v>24719.76041528889</v>
      </c>
      <c r="F78" s="17">
        <f t="shared" si="1"/>
        <v>29253.87604480001</v>
      </c>
      <c r="G78" s="17">
        <f t="shared" si="6"/>
        <v>4045.311361524998</v>
      </c>
      <c r="H78" s="17">
        <f t="shared" si="7"/>
        <v>7006.171428571429</v>
      </c>
      <c r="I78" s="17">
        <f t="shared" si="2"/>
        <v>11051.482790096426</v>
      </c>
    </row>
    <row r="79" spans="1:9" ht="18.75">
      <c r="A79" s="49">
        <v>7</v>
      </c>
      <c r="B79" s="17">
        <f t="shared" si="3"/>
        <v>22705.446831900445</v>
      </c>
      <c r="C79" s="17">
        <f t="shared" si="4"/>
        <v>28475.57812838401</v>
      </c>
      <c r="D79" s="17">
        <f t="shared" si="5"/>
        <v>2887.6000000000004</v>
      </c>
      <c r="E79" s="17">
        <f t="shared" si="0"/>
        <v>25593.046831900443</v>
      </c>
      <c r="F79" s="17">
        <f t="shared" si="1"/>
        <v>31363.17812838401</v>
      </c>
      <c r="G79" s="17">
        <f t="shared" si="6"/>
        <v>4105.991031947873</v>
      </c>
      <c r="H79" s="17">
        <f t="shared" si="7"/>
        <v>7006.171428571429</v>
      </c>
      <c r="I79" s="17">
        <f t="shared" si="2"/>
        <v>11112.162460519303</v>
      </c>
    </row>
    <row r="80" spans="1:9" ht="18.75">
      <c r="A80" s="49">
        <v>8</v>
      </c>
      <c r="B80" s="17">
        <f t="shared" si="3"/>
        <v>23613.664705176463</v>
      </c>
      <c r="C80" s="17">
        <f t="shared" si="4"/>
        <v>30753.624378654735</v>
      </c>
      <c r="D80" s="17">
        <f t="shared" si="5"/>
        <v>2887.6000000000004</v>
      </c>
      <c r="E80" s="17">
        <f t="shared" si="0"/>
        <v>26501.264705176465</v>
      </c>
      <c r="F80" s="17">
        <f t="shared" si="1"/>
        <v>33641.22437865473</v>
      </c>
      <c r="G80" s="17">
        <f t="shared" si="6"/>
        <v>4167.580897427091</v>
      </c>
      <c r="H80" s="17">
        <f t="shared" si="7"/>
        <v>7006.171428571429</v>
      </c>
      <c r="I80" s="17">
        <f t="shared" si="2"/>
        <v>11173.752325998521</v>
      </c>
    </row>
    <row r="81" spans="1:9" ht="18.75">
      <c r="A81" s="49">
        <v>9</v>
      </c>
      <c r="B81" s="17">
        <f t="shared" si="3"/>
        <v>24558.211293383523</v>
      </c>
      <c r="C81" s="17">
        <f t="shared" si="4"/>
        <v>33213.91432894712</v>
      </c>
      <c r="D81" s="17">
        <f t="shared" si="5"/>
        <v>2887.6000000000004</v>
      </c>
      <c r="E81" s="17">
        <f t="shared" si="0"/>
        <v>27445.811293383522</v>
      </c>
      <c r="F81" s="17">
        <f t="shared" si="1"/>
        <v>36101.514328947116</v>
      </c>
      <c r="G81" s="17">
        <f t="shared" si="6"/>
        <v>4230.094610888497</v>
      </c>
      <c r="H81" s="17">
        <f t="shared" si="7"/>
        <v>7006.171428571429</v>
      </c>
      <c r="I81" s="17">
        <f t="shared" si="2"/>
        <v>11236.266039459926</v>
      </c>
    </row>
    <row r="82" spans="1:9" ht="18.75">
      <c r="A82" s="49">
        <v>10</v>
      </c>
      <c r="B82" s="17">
        <f t="shared" si="3"/>
        <v>25540.539745118866</v>
      </c>
      <c r="C82" s="17">
        <f t="shared" si="4"/>
        <v>35871.02747526289</v>
      </c>
      <c r="D82" s="17">
        <f t="shared" si="5"/>
        <v>2887.6000000000004</v>
      </c>
      <c r="E82" s="17">
        <f t="shared" si="0"/>
        <v>28428.139745118868</v>
      </c>
      <c r="F82" s="17">
        <f t="shared" si="1"/>
        <v>38758.62747526289</v>
      </c>
      <c r="G82" s="17">
        <f t="shared" si="6"/>
        <v>4293.546030051824</v>
      </c>
      <c r="H82" s="17">
        <f t="shared" si="7"/>
        <v>7006.171428571429</v>
      </c>
      <c r="I82" s="17">
        <f t="shared" si="2"/>
        <v>11299.717458623254</v>
      </c>
    </row>
    <row r="83" spans="1:9" ht="18.75">
      <c r="A83" s="49">
        <v>11</v>
      </c>
      <c r="B83" s="17">
        <f t="shared" si="3"/>
        <v>26562.16133492362</v>
      </c>
      <c r="C83" s="17">
        <f t="shared" si="4"/>
        <v>38740.70967328393</v>
      </c>
      <c r="D83" s="17">
        <f t="shared" si="5"/>
        <v>2887.6000000000004</v>
      </c>
      <c r="E83" s="17">
        <f t="shared" si="0"/>
        <v>29449.76133492362</v>
      </c>
      <c r="F83" s="17">
        <f t="shared" si="1"/>
        <v>41628.309673283926</v>
      </c>
      <c r="G83" s="17">
        <f t="shared" si="6"/>
        <v>4357.949220502601</v>
      </c>
      <c r="H83" s="17">
        <f t="shared" si="7"/>
        <v>7006.171428571429</v>
      </c>
      <c r="I83" s="17">
        <f t="shared" si="2"/>
        <v>11364.12064907403</v>
      </c>
    </row>
    <row r="84" spans="1:9" ht="18.75">
      <c r="A84" s="49">
        <v>12</v>
      </c>
      <c r="B84" s="17">
        <f t="shared" si="3"/>
        <v>27624.647788320566</v>
      </c>
      <c r="C84" s="17">
        <f t="shared" si="4"/>
        <v>41839.966447146646</v>
      </c>
      <c r="D84" s="17">
        <f t="shared" si="5"/>
        <v>2887.6000000000004</v>
      </c>
      <c r="E84" s="17">
        <f t="shared" si="0"/>
        <v>30512.247788320565</v>
      </c>
      <c r="F84" s="17">
        <f t="shared" si="1"/>
        <v>44727.566447146644</v>
      </c>
      <c r="G84" s="17">
        <f t="shared" si="6"/>
        <v>4423.318458810139</v>
      </c>
      <c r="H84" s="17">
        <f t="shared" si="7"/>
        <v>7006.171428571429</v>
      </c>
      <c r="I84" s="17">
        <f t="shared" si="2"/>
        <v>11429.48988738157</v>
      </c>
    </row>
    <row r="85" spans="1:9" ht="18.75">
      <c r="A85" s="49">
        <v>13</v>
      </c>
      <c r="B85" s="17">
        <f t="shared" si="3"/>
        <v>28729.63369985339</v>
      </c>
      <c r="C85" s="17">
        <f t="shared" si="4"/>
        <v>45187.16376291838</v>
      </c>
      <c r="D85" s="17">
        <f t="shared" si="5"/>
        <v>2887.6000000000004</v>
      </c>
      <c r="E85" s="17">
        <f t="shared" si="0"/>
        <v>31617.233699853394</v>
      </c>
      <c r="F85" s="17">
        <f t="shared" si="1"/>
        <v>48074.76376291838</v>
      </c>
      <c r="G85" s="17">
        <f t="shared" si="6"/>
        <v>4489.668235692291</v>
      </c>
      <c r="H85" s="17">
        <f t="shared" si="7"/>
        <v>7006.171428571429</v>
      </c>
      <c r="I85" s="17">
        <f t="shared" si="2"/>
        <v>11495.83966426372</v>
      </c>
    </row>
    <row r="86" spans="1:9" ht="18.75">
      <c r="A86" s="49">
        <v>14</v>
      </c>
      <c r="B86" s="17">
        <f t="shared" si="3"/>
        <v>29878.81904784753</v>
      </c>
      <c r="C86" s="17">
        <f t="shared" si="4"/>
        <v>48802.136863951855</v>
      </c>
      <c r="D86" s="17">
        <f t="shared" si="5"/>
        <v>2887.6000000000004</v>
      </c>
      <c r="E86" s="17">
        <f t="shared" si="0"/>
        <v>32766.41904784753</v>
      </c>
      <c r="F86" s="17">
        <f t="shared" si="1"/>
        <v>51689.73686395185</v>
      </c>
      <c r="G86" s="17">
        <f t="shared" si="6"/>
        <v>4557.013259227675</v>
      </c>
      <c r="H86" s="17">
        <f t="shared" si="7"/>
        <v>7006.171428571429</v>
      </c>
      <c r="I86" s="17">
        <f t="shared" si="2"/>
        <v>11563.184687799105</v>
      </c>
    </row>
    <row r="87" spans="1:9" ht="18.75">
      <c r="A87" s="49">
        <v>15</v>
      </c>
      <c r="B87" s="17">
        <f t="shared" si="3"/>
        <v>31073.97180976143</v>
      </c>
      <c r="C87" s="17">
        <f t="shared" si="4"/>
        <v>52706.30781306801</v>
      </c>
      <c r="D87" s="17">
        <f t="shared" si="5"/>
        <v>2887.6000000000004</v>
      </c>
      <c r="E87" s="17">
        <f t="shared" si="0"/>
        <v>33961.57180976143</v>
      </c>
      <c r="F87" s="17">
        <f t="shared" si="1"/>
        <v>55593.90781306801</v>
      </c>
      <c r="G87" s="17">
        <f t="shared" si="6"/>
        <v>4625.36845811609</v>
      </c>
      <c r="H87" s="17">
        <f t="shared" si="7"/>
        <v>7006.171428571429</v>
      </c>
      <c r="I87" s="17">
        <f t="shared" si="2"/>
        <v>11631.539886687518</v>
      </c>
    </row>
    <row r="88" spans="1:9" ht="18.75">
      <c r="A88" s="49">
        <v>16</v>
      </c>
      <c r="B88" s="17">
        <f t="shared" si="3"/>
        <v>32316.93068215189</v>
      </c>
      <c r="C88" s="17">
        <f t="shared" si="4"/>
        <v>56922.812438113455</v>
      </c>
      <c r="D88" s="17">
        <f t="shared" si="5"/>
        <v>2887.6000000000004</v>
      </c>
      <c r="E88" s="17">
        <f t="shared" si="0"/>
        <v>35204.53068215189</v>
      </c>
      <c r="F88" s="17">
        <f t="shared" si="1"/>
        <v>59810.41243811345</v>
      </c>
      <c r="G88" s="17">
        <f t="shared" si="6"/>
        <v>4694.74898498783</v>
      </c>
      <c r="H88" s="17">
        <f t="shared" si="7"/>
        <v>7006.171428571429</v>
      </c>
      <c r="I88" s="17">
        <f t="shared" si="2"/>
        <v>11700.920413559259</v>
      </c>
    </row>
    <row r="89" spans="1:9" ht="18.75">
      <c r="A89" s="49">
        <v>17</v>
      </c>
      <c r="B89" s="17">
        <f t="shared" si="3"/>
        <v>33609.60790943797</v>
      </c>
      <c r="C89" s="17">
        <f t="shared" si="4"/>
        <v>61476.637433162534</v>
      </c>
      <c r="D89" s="17">
        <f t="shared" si="5"/>
        <v>2887.6000000000004</v>
      </c>
      <c r="E89" s="17">
        <f t="shared" si="0"/>
        <v>36497.207909437966</v>
      </c>
      <c r="F89" s="17">
        <f t="shared" si="1"/>
        <v>64364.23743316253</v>
      </c>
      <c r="G89" s="17">
        <f t="shared" si="6"/>
        <v>4765.170219762647</v>
      </c>
      <c r="H89" s="17">
        <f t="shared" si="7"/>
        <v>7006.171428571429</v>
      </c>
      <c r="I89" s="17">
        <f t="shared" si="2"/>
        <v>11771.341648334077</v>
      </c>
    </row>
    <row r="90" spans="1:9" ht="18.75">
      <c r="A90" s="49">
        <v>18</v>
      </c>
      <c r="B90" s="17">
        <f t="shared" si="3"/>
        <v>34953.992225815484</v>
      </c>
      <c r="C90" s="17">
        <f t="shared" si="4"/>
        <v>66394.76842781554</v>
      </c>
      <c r="D90" s="17">
        <f t="shared" si="5"/>
        <v>2887.6000000000004</v>
      </c>
      <c r="E90" s="17">
        <f t="shared" si="0"/>
        <v>37841.59222581548</v>
      </c>
      <c r="F90" s="17">
        <f t="shared" si="1"/>
        <v>69282.36842781554</v>
      </c>
      <c r="G90" s="17">
        <f t="shared" si="6"/>
        <v>4836.647773059087</v>
      </c>
      <c r="H90" s="17">
        <f t="shared" si="7"/>
        <v>7006.171428571429</v>
      </c>
      <c r="I90" s="17">
        <f t="shared" si="2"/>
        <v>11842.819201630515</v>
      </c>
    </row>
    <row r="91" spans="1:9" ht="18.75">
      <c r="A91" s="49">
        <v>19</v>
      </c>
      <c r="B91" s="17">
        <f t="shared" si="3"/>
        <v>36352.1519148481</v>
      </c>
      <c r="C91" s="17">
        <f t="shared" si="4"/>
        <v>71706.34990204078</v>
      </c>
      <c r="D91" s="17">
        <f t="shared" si="5"/>
        <v>2887.6000000000004</v>
      </c>
      <c r="E91" s="17">
        <f t="shared" si="0"/>
        <v>39239.7519148481</v>
      </c>
      <c r="F91" s="17">
        <f t="shared" si="1"/>
        <v>74593.94990204078</v>
      </c>
      <c r="G91" s="17">
        <f t="shared" si="6"/>
        <v>4909.197489654973</v>
      </c>
      <c r="H91" s="17">
        <f t="shared" si="7"/>
        <v>7006.171428571429</v>
      </c>
      <c r="I91" s="17">
        <f t="shared" si="2"/>
        <v>11915.368918226402</v>
      </c>
    </row>
    <row r="92" spans="1:9" ht="18.75">
      <c r="A92" s="49">
        <v>20</v>
      </c>
      <c r="B92" s="17">
        <f t="shared" si="3"/>
        <v>37806.23799144203</v>
      </c>
      <c r="C92" s="17">
        <f t="shared" si="4"/>
        <v>77442.85789420405</v>
      </c>
      <c r="D92" s="17">
        <f t="shared" si="5"/>
        <v>2887.6000000000004</v>
      </c>
      <c r="E92" s="17">
        <f t="shared" si="0"/>
        <v>40693.83799144203</v>
      </c>
      <c r="F92" s="17">
        <f t="shared" si="1"/>
        <v>80330.45789420405</v>
      </c>
      <c r="G92" s="17">
        <f t="shared" si="6"/>
        <v>4982.8354519997965</v>
      </c>
      <c r="H92" s="17">
        <f t="shared" si="7"/>
        <v>7006.171428571429</v>
      </c>
      <c r="I92" s="17">
        <f t="shared" si="2"/>
        <v>11989.006880571225</v>
      </c>
    </row>
    <row r="93" spans="2:9" ht="18.75">
      <c r="B93" s="50"/>
      <c r="C93" s="50"/>
      <c r="D93" s="50"/>
      <c r="E93" s="50"/>
      <c r="F93" s="50"/>
      <c r="G93" s="50"/>
      <c r="H93" s="50"/>
      <c r="I93" s="50"/>
    </row>
    <row r="94" spans="1:9" ht="19.5" thickBot="1">
      <c r="A94" s="51" t="s">
        <v>82</v>
      </c>
      <c r="B94" s="52">
        <f>SUM(B73:B93)</f>
        <v>534351.0766663812</v>
      </c>
      <c r="C94" s="52">
        <f aca="true" t="shared" si="8" ref="C94:I94">SUM(C73:C93)</f>
        <v>821173.0260161984</v>
      </c>
      <c r="D94" s="52">
        <f t="shared" si="8"/>
        <v>57751.999999999985</v>
      </c>
      <c r="E94" s="52">
        <f t="shared" si="8"/>
        <v>592103.0766663813</v>
      </c>
      <c r="F94" s="52">
        <f t="shared" si="8"/>
        <v>878925.0260161983</v>
      </c>
      <c r="G94" s="52">
        <f t="shared" si="8"/>
        <v>86831.7295308983</v>
      </c>
      <c r="H94" s="52">
        <f t="shared" si="8"/>
        <v>140123.42857142855</v>
      </c>
      <c r="I94" s="52">
        <f t="shared" si="8"/>
        <v>226955.15810232682</v>
      </c>
    </row>
    <row r="95" spans="2:9" ht="19.5" thickTop="1">
      <c r="B95" s="50"/>
      <c r="C95" s="50"/>
      <c r="D95" s="50"/>
      <c r="E95" s="50"/>
      <c r="F95" s="50"/>
      <c r="G95" s="50"/>
      <c r="H95" s="50"/>
      <c r="I95" s="50"/>
    </row>
    <row r="96" spans="1:9" ht="19.5" thickBot="1">
      <c r="A96" s="51" t="s">
        <v>83</v>
      </c>
      <c r="B96" s="52">
        <f>B94-G94</f>
        <v>447519.34713548294</v>
      </c>
      <c r="C96" s="52">
        <f>C94-G94</f>
        <v>734341.2964853002</v>
      </c>
      <c r="D96" s="52"/>
      <c r="E96" s="52">
        <f>E94-I94</f>
        <v>365147.91856405453</v>
      </c>
      <c r="F96" s="52">
        <f>F94-I94</f>
        <v>651969.8679138715</v>
      </c>
      <c r="G96" s="52"/>
      <c r="H96" s="52"/>
      <c r="I96" s="52"/>
    </row>
    <row r="97" ht="19.5" thickTop="1"/>
  </sheetData>
  <sheetProtection/>
  <printOptions/>
  <pageMargins left="0.7874015748031497" right="0.5905511811023623" top="0.6692913385826772" bottom="0.7874015748031497" header="0.31496062992125984" footer="0.5118110236220472"/>
  <pageSetup fitToHeight="3" fitToWidth="1" horizontalDpi="300" verticalDpi="300" orientation="landscape" paperSize="9" scale="61" r:id="rId2"/>
  <headerFooter alignWithMargins="0">
    <oddHeader>&amp;L&amp;14Wirtschaftlichkeitsvergleich&amp;R&amp;D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Wirtschaftlichkeitsberechnung</dc:title>
  <dc:subject/>
  <dc:creator>Uwe Schlüter</dc:creator>
  <cp:keywords/>
  <dc:description/>
  <cp:lastModifiedBy>Uwe Schlüter</cp:lastModifiedBy>
  <cp:lastPrinted>2011-08-02T14:39:33Z</cp:lastPrinted>
  <dcterms:created xsi:type="dcterms:W3CDTF">2003-10-09T14:21:53Z</dcterms:created>
  <dcterms:modified xsi:type="dcterms:W3CDTF">2012-11-17T08:47:00Z</dcterms:modified>
  <cp:category/>
  <cp:version/>
  <cp:contentType/>
  <cp:contentStatus/>
</cp:coreProperties>
</file>